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nicholasfane/Desktop/"/>
    </mc:Choice>
  </mc:AlternateContent>
  <xr:revisionPtr revIDLastSave="0" documentId="8_{229449FC-50FD-7F49-B5A9-83F57F93E9CA}" xr6:coauthVersionLast="47" xr6:coauthVersionMax="47" xr10:uidLastSave="{00000000-0000-0000-0000-000000000000}"/>
  <bookViews>
    <workbookView xWindow="0" yWindow="500" windowWidth="25700" windowHeight="15080" tabRatio="834" xr2:uid="{7A03BD04-7961-4E51-95C0-E16A11C3828E}"/>
  </bookViews>
  <sheets>
    <sheet name="Instructions" sheetId="3" r:id="rId1"/>
    <sheet name="Inputs and Outputs" sheetId="2" r:id="rId2"/>
    <sheet name="Methane Emissions Calculations" sheetId="4" r:id="rId3"/>
    <sheet name="Emission Factors and Defaults" sheetId="1" r:id="rId4"/>
    <sheet name="Default Equipment Counts" sheetId="9" r:id="rId5"/>
    <sheet name="Fugitives Profiles" sheetId="8" r:id="rId6"/>
    <sheet name="References" sheetId="7" r:id="rId7"/>
  </sheets>
  <definedNames>
    <definedName name="_xlnm._FilterDatabase" localSheetId="0" hidden="1">Instructions!$B$39:$E$164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2" l="1"/>
  <c r="G63" i="2"/>
  <c r="G62" i="2"/>
  <c r="G61" i="2" l="1"/>
  <c r="G39" i="2" l="1"/>
  <c r="G40" i="2"/>
  <c r="G38" i="2"/>
  <c r="G25" i="2"/>
  <c r="G26" i="2"/>
  <c r="G27" i="2"/>
  <c r="G28" i="2"/>
  <c r="G29" i="2"/>
  <c r="G24" i="2"/>
  <c r="E16" i="1"/>
  <c r="E15" i="1"/>
  <c r="F15" i="1"/>
  <c r="F16" i="1"/>
  <c r="H58" i="2"/>
  <c r="H57" i="2"/>
  <c r="H56" i="2"/>
  <c r="H55" i="2"/>
  <c r="H54" i="2"/>
  <c r="H53" i="2"/>
  <c r="H52" i="2"/>
  <c r="H51" i="2"/>
  <c r="H50" i="2"/>
  <c r="H49" i="2"/>
  <c r="H48" i="2"/>
  <c r="D11" i="2"/>
  <c r="D10" i="2"/>
  <c r="D12" i="2" l="1"/>
  <c r="L6" i="8"/>
  <c r="J44" i="2" l="1"/>
  <c r="H47" i="2"/>
  <c r="J43" i="2"/>
  <c r="J42" i="2"/>
  <c r="J41" i="2"/>
  <c r="J40" i="2"/>
  <c r="J39" i="2"/>
  <c r="J38" i="2"/>
  <c r="J37" i="2"/>
  <c r="J36" i="2"/>
  <c r="J35" i="2"/>
  <c r="J34" i="2"/>
  <c r="J33" i="2"/>
  <c r="J32" i="2"/>
  <c r="J31" i="2"/>
  <c r="J30" i="2"/>
  <c r="J29" i="2"/>
  <c r="J28" i="2"/>
  <c r="J27" i="2"/>
  <c r="J26" i="2"/>
  <c r="J25" i="2"/>
  <c r="J24" i="2"/>
  <c r="C26" i="1"/>
  <c r="I69" i="2" l="1"/>
  <c r="D50" i="4" s="1"/>
  <c r="L20" i="8" l="1"/>
  <c r="L21" i="8"/>
  <c r="L19" i="8"/>
  <c r="L16" i="8"/>
  <c r="L15" i="8"/>
  <c r="L14" i="8"/>
  <c r="L10" i="8"/>
  <c r="L11" i="8"/>
  <c r="L9" i="8"/>
  <c r="L3" i="8"/>
  <c r="L5" i="8"/>
  <c r="L4" i="8"/>
  <c r="D9" i="2"/>
  <c r="D4" i="4" s="1"/>
  <c r="D8" i="2"/>
  <c r="D3" i="4" s="1"/>
  <c r="D7" i="2"/>
  <c r="G43" i="2" s="1"/>
  <c r="D6" i="2"/>
  <c r="E10" i="1"/>
  <c r="E8" i="1"/>
  <c r="E9" i="1"/>
  <c r="E7" i="1"/>
  <c r="F52" i="2" l="1"/>
  <c r="D36" i="4" s="1"/>
  <c r="G41" i="2"/>
  <c r="D27" i="4" s="1"/>
  <c r="F53" i="2"/>
  <c r="D37" i="4" s="1"/>
  <c r="D21" i="4"/>
  <c r="D30" i="4"/>
  <c r="D39" i="4"/>
  <c r="D42" i="4"/>
  <c r="D40" i="4"/>
  <c r="D41" i="4"/>
  <c r="D20" i="4"/>
  <c r="D23" i="4"/>
  <c r="D32" i="4"/>
  <c r="D38" i="4"/>
  <c r="D28" i="4"/>
  <c r="D45" i="4"/>
  <c r="D46" i="4"/>
  <c r="D43" i="4"/>
  <c r="D44" i="4"/>
  <c r="D48" i="4"/>
  <c r="D29" i="4"/>
  <c r="D22" i="4"/>
  <c r="D31" i="4"/>
  <c r="D25" i="4"/>
  <c r="D26" i="4"/>
  <c r="D13" i="4"/>
  <c r="D24" i="4"/>
  <c r="D33" i="4"/>
  <c r="D34" i="4"/>
  <c r="D18" i="4"/>
  <c r="D17" i="4"/>
  <c r="D19" i="4"/>
  <c r="D16" i="4"/>
  <c r="D35" i="4"/>
  <c r="D5" i="4"/>
  <c r="D10" i="4"/>
  <c r="D15" i="4"/>
  <c r="D14" i="4"/>
  <c r="D12" i="4"/>
  <c r="D11" i="4"/>
  <c r="D47" i="4" l="1"/>
  <c r="D49" i="4" s="1"/>
  <c r="H4" i="2" s="1"/>
  <c r="H5" i="2" s="1"/>
  <c r="H10" i="2" l="1"/>
  <c r="H11"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tc={5FB071BB-4126-49B6-A7DC-C23F5BEE88CB}</author>
    <author>tc={FAA64300-5907-4F9F-B15A-D740705AA190}</author>
    <author>tc={2CA7CBC5-D1A7-4E5C-8928-4378549ED156}</author>
    <author>tc={F9AF0923-5EA0-4EEF-AC24-26D53E4BA21A}</author>
    <author>tc={4F515177-34B4-41EA-BF3B-21946F5D7DA6}</author>
    <author>tc={985C475D-D909-4264-A154-1EBA8D821457}</author>
    <author>tc={669E6BCC-66C9-4007-A46C-FAD5775214D2}</author>
    <author>tc={8FA3D155-D9B5-4E98-AE5E-5B92957F33A8}</author>
    <author>tc={D88F630C-368B-4C3F-AC32-B02326D0D1FC}</author>
    <author>tc={83A62B44-7FDE-4E8F-B156-C70D6D00A3B8}</author>
    <author>tc={C2E38164-8497-4BB7-B386-52F8F82075C2}</author>
    <author>tc={397FDA7C-1BDD-472E-A39E-C50F84F0D78B}</author>
    <author>tc={6D1DBE8C-C689-429B-A040-F4E9F44C71AF}</author>
  </authors>
  <commentList>
    <comment ref="C6" authorId="0" shapeId="0" xr:uid="{5FB071BB-4126-49B6-A7DC-C23F5BEE88CB}">
      <text>
        <t>[Threaded comment]
Your version of Excel allows you to read this threaded comment; however, any edits to it will get removed if the file is opened in a newer version of Excel. Learn more: https://go.microsoft.com/fwlink/?linkid=870924
Comment:
    Gas to oil ratio taken at the well</t>
      </text>
    </comment>
    <comment ref="C7" authorId="1" shapeId="0" xr:uid="{FAA64300-5907-4F9F-B15A-D740705AA190}">
      <text>
        <t>[Threaded comment]
Your version of Excel allows you to read this threaded comment; however, any edits to it will get removed if the file is opened in a newer version of Excel. Learn more: https://go.microsoft.com/fwlink/?linkid=870924
Comment:
    Gas remaining in solution ratio after separation</t>
      </text>
    </comment>
    <comment ref="C8" authorId="2" shapeId="0" xr:uid="{2CA7CBC5-D1A7-4E5C-8928-4378549ED156}">
      <text>
        <t>[Threaded comment]
Your version of Excel allows you to read this threaded comment; however, any edits to it will get removed if the file is opened in a newer version of Excel. Learn more: https://go.microsoft.com/fwlink/?linkid=870924
Comment:
    Percentage of how much methane is presented in the composition of the fuel, flared, or vented gas</t>
      </text>
    </comment>
    <comment ref="C9" authorId="3" shapeId="0" xr:uid="{F9AF0923-5EA0-4EEF-AC24-26D53E4BA21A}">
      <text>
        <t>[Threaded comment]
Your version of Excel allows you to read this threaded comment; however, any edits to it will get removed if the file is opened in a newer version of Excel. Learn more: https://go.microsoft.com/fwlink/?linkid=870924
Comment:
    Percentage of how much methane is presented in the composition of tank vapours remaining in solution</t>
      </text>
    </comment>
    <comment ref="C12" authorId="4" shapeId="0" xr:uid="{4F515177-34B4-41EA-BF3B-21946F5D7DA6}">
      <text>
        <t>[Threaded comment]
Your version of Excel allows you to read this threaded comment; however, any edits to it will get removed if the file is opened in a newer version of Excel. Learn more: https://go.microsoft.com/fwlink/?linkid=870924
Comment:
    Percentage of how much gas is included in the total product as calculated based on MiQ V1.0 guidance</t>
      </text>
    </comment>
    <comment ref="C21" authorId="5" shapeId="0" xr:uid="{985C475D-D909-4264-A154-1EBA8D821457}">
      <text>
        <t xml:space="preserve">[Threaded comment]
Your version of Excel allows you to read this threaded comment; however, any edits to it will get removed if the file is opened in a newer version of Excel. Learn more: https://go.microsoft.com/fwlink/?linkid=870924
Comment:
    a quantitative assurance process required to ensure a more complete emissions estimate. The process cross-references top-down detections and quantified emissions with a bottom-up inventory to ensure an operator's Methane Intensity falls within a designated MiQ Grade band.  </t>
      </text>
    </comment>
    <comment ref="H38" authorId="6" shapeId="0" xr:uid="{669E6BCC-66C9-4007-A46C-FAD5775214D2}">
      <text>
        <t xml:space="preserve">[Threaded comment]
Your version of Excel allows you to read this threaded comment; however, any edits to it will get removed if the file is opened in a newer version of Excel. Learn more: https://go.microsoft.com/fwlink/?linkid=870924
Comment:
    Formula converts volumes to m3. Do not change the units unless overwriting with manual entry of volume in scf. </t>
      </text>
    </comment>
    <comment ref="H39" authorId="7" shapeId="0" xr:uid="{8FA3D155-D9B5-4E98-AE5E-5B92957F33A8}">
      <text>
        <t xml:space="preserve">[Threaded comment]
Your version of Excel allows you to read this threaded comment; however, any edits to it will get removed if the file is opened in a newer version of Excel. Learn more: https://go.microsoft.com/fwlink/?linkid=870924
Comment:
    Formula converts volumes to m3. Do not change the units unless overwriting with manual entry of volume in scf. </t>
      </text>
    </comment>
    <comment ref="H40" authorId="8" shapeId="0" xr:uid="{D88F630C-368B-4C3F-AC32-B02326D0D1FC}">
      <text>
        <t xml:space="preserve">[Threaded comment]
Your version of Excel allows you to read this threaded comment; however, any edits to it will get removed if the file is opened in a newer version of Excel. Learn more: https://go.microsoft.com/fwlink/?linkid=870924
Comment:
    Formula converts volumes to m3. Do not change the units unless overwriting with manual entry of volume in scf. </t>
      </text>
    </comment>
    <comment ref="H41" authorId="9" shapeId="0" xr:uid="{83A62B44-7FDE-4E8F-B156-C70D6D00A3B8}">
      <text>
        <t>[Threaded comment]
Your version of Excel allows you to read this threaded comment; however, any edits to it will get removed if the file is opened in a newer version of Excel. Learn more: https://go.microsoft.com/fwlink/?linkid=870924
Comment:
    Volume converted to m3. If manual entry, ensure to select units of gas vented as m3 or scf</t>
      </text>
    </comment>
    <comment ref="H43" authorId="10" shapeId="0" xr:uid="{C2E38164-8497-4BB7-B386-52F8F82075C2}">
      <text>
        <t>[Threaded comment]
Your version of Excel allows you to read this threaded comment; however, any edits to it will get removed if the file is opened in a newer version of Excel. Learn more: https://go.microsoft.com/fwlink/?linkid=870924
Comment:
    Volume converted to m3. If manual entry, ensure to select units of gas vented as m3 or scf</t>
      </text>
    </comment>
    <comment ref="G52" authorId="11" shapeId="0" xr:uid="{397FDA7C-1BDD-472E-A39E-C50F84F0D78B}">
      <text>
        <t>[Threaded comment]
Your version of Excel allows you to read this threaded comment; however, any edits to it will get removed if the file is opened in a newer version of Excel. Learn more: https://go.microsoft.com/fwlink/?linkid=870924
Comment:
    Volume converted to m3. If manual entry, ensure to select units of gas vented as m3 or scf</t>
      </text>
    </comment>
    <comment ref="G53" authorId="12" shapeId="0" xr:uid="{6D1DBE8C-C689-429B-A040-F4E9F44C71AF}">
      <text>
        <t>[Threaded comment]
Your version of Excel allows you to read this threaded comment; however, any edits to it will get removed if the file is opened in a newer version of Excel. Learn more: https://go.microsoft.com/fwlink/?linkid=870924
Comment:
    Volume converted to m3. If manual entry, ensure to select units of gas vented as m3 or scf</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tc={6884E0B7-C7C7-4421-BABB-F46E2174E372}</author>
    <author>tc={D1012951-605A-48FD-9ABA-EFC5D7698C57}</author>
    <author>tc={93E2A475-344F-4BC9-9975-933949E0D0C5}</author>
    <author>tc={047B1719-9336-44D8-9DF5-48929B872CE5}</author>
    <author>tc={37833962-9DB5-4194-811A-66EA81D8DC1F}</author>
    <author>tc={3652DBE5-AB37-4117-9195-431ECB8D3FE3}</author>
    <author>tc={1C07B0FD-B04E-414C-BFDC-68E03EF09C79}</author>
  </authors>
  <commentList>
    <comment ref="D43" authorId="0" shapeId="0" xr:uid="{6884E0B7-C7C7-4421-BABB-F46E2174E372}">
      <text>
        <t>[Threaded comment]
Your version of Excel allows you to read this threaded comment; however, any edits to it will get removed if the file is opened in a newer version of Excel. Learn more: https://go.microsoft.com/fwlink/?linkid=870924
Comment:
    Value not included in Total. See cell D49 for "Total Fugitives"</t>
      </text>
    </comment>
    <comment ref="D44" authorId="1" shapeId="0" xr:uid="{D1012951-605A-48FD-9ABA-EFC5D7698C57}">
      <text>
        <t>[Threaded comment]
Your version of Excel allows you to read this threaded comment; however, any edits to it will get removed if the file is opened in a newer version of Excel. Learn more: https://go.microsoft.com/fwlink/?linkid=870924
Comment:
    Value not included in Total. See cell D49 for "Total Fugitives"</t>
      </text>
    </comment>
    <comment ref="D45" authorId="2" shapeId="0" xr:uid="{93E2A475-344F-4BC9-9975-933949E0D0C5}">
      <text>
        <t>[Threaded comment]
Your version of Excel allows you to read this threaded comment; however, any edits to it will get removed if the file is opened in a newer version of Excel. Learn more: https://go.microsoft.com/fwlink/?linkid=870924
Comment:
    Value not included in Total. See cell D49 for "Total Fugitives"</t>
      </text>
    </comment>
    <comment ref="D46" authorId="3" shapeId="0" xr:uid="{047B1719-9336-44D8-9DF5-48929B872CE5}">
      <text>
        <t>[Threaded comment]
Your version of Excel allows you to read this threaded comment; however, any edits to it will get removed if the file is opened in a newer version of Excel. Learn more: https://go.microsoft.com/fwlink/?linkid=870924
Comment:
    Value not included in Total. See cell D49 for "Total Fugitives"</t>
      </text>
    </comment>
    <comment ref="D47" authorId="4" shapeId="0" xr:uid="{37833962-9DB5-4194-811A-66EA81D8DC1F}">
      <text>
        <t>[Threaded comment]
Your version of Excel allows you to read this threaded comment; however, any edits to it will get removed if the file is opened in a newer version of Excel. Learn more: https://go.microsoft.com/fwlink/?linkid=870924
Comment:
    Value not included in Total. See cell D49 for "Total Fugitives"</t>
      </text>
    </comment>
    <comment ref="D48" authorId="5" shapeId="0" xr:uid="{3652DBE5-AB37-4117-9195-431ECB8D3FE3}">
      <text>
        <t>[Threaded comment]
Your version of Excel allows you to read this threaded comment; however, any edits to it will get removed if the file is opened in a newer version of Excel. Learn more: https://go.microsoft.com/fwlink/?linkid=870924
Comment:
    Value not included in Total. See cell D49 for "Total Fugitives"</t>
      </text>
    </comment>
    <comment ref="D49" authorId="6" shapeId="0" xr:uid="{1C07B0FD-B04E-414C-BFDC-68E03EF09C79}">
      <text>
        <t>[Threaded comment]
Your version of Excel allows you to read this threaded comment; however, any edits to it will get removed if the file is opened in a newer version of Excel. Learn more: https://go.microsoft.com/fwlink/?linkid=870924
Comment:
    Cell is dependant on if leak counts are known. If no leaks counts are entered, then an estimates based on fugitives profiles is utilized.</t>
      </text>
    </comment>
  </commentList>
</comments>
</file>

<file path=xl/sharedStrings.xml><?xml version="1.0" encoding="utf-8"?>
<sst xmlns="http://schemas.openxmlformats.org/spreadsheetml/2006/main" count="896" uniqueCount="458">
  <si>
    <t>Disclaimer</t>
  </si>
  <si>
    <t>Input Cell</t>
  </si>
  <si>
    <t>Input data or select drop down</t>
  </si>
  <si>
    <t>Formula Provided, overwrite if available</t>
  </si>
  <si>
    <t>Default value or formula provided, can be overwritten with actuals if available</t>
  </si>
  <si>
    <t>Output Cell</t>
  </si>
  <si>
    <t>Output of calculated emissions and intensity</t>
  </si>
  <si>
    <t>Select the jurisdictional quantification methodology in the input and outputs tab. Cell D4</t>
  </si>
  <si>
    <t>Select facility type in cell D5</t>
  </si>
  <si>
    <t>Input applicable equipment counts and operating hours into light blue cells</t>
  </si>
  <si>
    <t>Refer to the indication if a column is mandatory. All applicable emissions should be evaluated. If specific pump types aren't available, use the generic entry. Events are entered as applicable and therefore indicated as not mandatory</t>
  </si>
  <si>
    <t>Input calculated volumes into light blue cells. Where a gray cell is used for a volume, this can be overwritten with company-specific metered and/or engineered calculations</t>
  </si>
  <si>
    <t>Ensure that a drop down is selected for volume unit of measurement</t>
  </si>
  <si>
    <t>If equipment specific emission factors are available, utilize the emission factors and defaults tab to overwrite any applicable and available factors including compressor seal counts and destruction efficiency</t>
  </si>
  <si>
    <t>Methane emissions calculation tab shows detailed calculated emissions results by equipment</t>
  </si>
  <si>
    <t>Input justification if not using default methodology or emission factors provided by the tool</t>
  </si>
  <si>
    <t>Definitions</t>
  </si>
  <si>
    <t>GIS factor:</t>
  </si>
  <si>
    <t>Gas remaining in solution ratio after separation</t>
  </si>
  <si>
    <t>GOR factor:</t>
  </si>
  <si>
    <t>Gas to oil ratio taken at the well</t>
  </si>
  <si>
    <t>LDAR:</t>
  </si>
  <si>
    <t>Leak Detection and Repair</t>
  </si>
  <si>
    <t>OGI:</t>
  </si>
  <si>
    <t>Optical Gas Imaging Camera used to detect equipment level leaks</t>
  </si>
  <si>
    <t>Gas Ratio:</t>
  </si>
  <si>
    <t>Percentage of how much gas is included in the total product</t>
  </si>
  <si>
    <t>Methane Content Gas:</t>
  </si>
  <si>
    <t>Percentage of how much methane is presented in the composition of the fuel, flared, or vented gas</t>
  </si>
  <si>
    <t>Methane Content Tank Vapours:</t>
  </si>
  <si>
    <t>Percentage of how much methane is presented in the composition of tank vapours remaining in solution</t>
  </si>
  <si>
    <t>Minimum Required Methodolody for MiQ</t>
  </si>
  <si>
    <t>Emission Source</t>
  </si>
  <si>
    <t>Minimum Emission Calculation Requirements</t>
  </si>
  <si>
    <r>
      <t>Reference Methods</t>
    </r>
    <r>
      <rPr>
        <u/>
        <vertAlign val="superscript"/>
        <sz val="11"/>
        <color theme="0"/>
        <rFont val="Nunito Sans ExtraBold"/>
      </rPr>
      <t>[1]</t>
    </r>
  </si>
  <si>
    <r>
      <t>Product Allocation</t>
    </r>
    <r>
      <rPr>
        <b/>
        <vertAlign val="superscript"/>
        <sz val="11"/>
        <color theme="1"/>
        <rFont val="Nunito Sans ExtraBold"/>
      </rPr>
      <t>§</t>
    </r>
  </si>
  <si>
    <t>Acid Gas Removal Units</t>
  </si>
  <si>
    <t>Emission-factor based calculation using an emission factor representative of AGRU venting, along with the number of AGRUs.</t>
  </si>
  <si>
    <t>2021 API Compendium 6.3.8.4 or 7.2.3.2 [4]</t>
  </si>
  <si>
    <t>Natural gas</t>
  </si>
  <si>
    <r>
      <t>GHGI</t>
    </r>
    <r>
      <rPr>
        <u/>
        <vertAlign val="superscript"/>
        <sz val="9"/>
        <color rgb="FF07AF97"/>
        <rFont val="Nunito Sans"/>
      </rPr>
      <t>[2]</t>
    </r>
    <r>
      <rPr>
        <u/>
        <sz val="9"/>
        <color rgb="FF07AF97"/>
        <rFont val="Nunito Sans"/>
      </rPr>
      <t xml:space="preserve"> [5]</t>
    </r>
  </si>
  <si>
    <t xml:space="preserve">Associated Gas Flaring </t>
  </si>
  <si>
    <t>Engineering Calculation using volume of oil produced, gas to oil ratio (GOR), and volume of associated gas sent to sales; accounting for flare control as applicable</t>
  </si>
  <si>
    <t>OGMP TGD Flare efficiency (L3-L4)[4];</t>
  </si>
  <si>
    <t>Energy-allocated</t>
  </si>
  <si>
    <t xml:space="preserve">40 CFR 98.233(m)[6] </t>
  </si>
  <si>
    <t>WCI.363(j) [9]</t>
  </si>
  <si>
    <t>AQM Eqn. 2-1a, 2-1b [8]</t>
  </si>
  <si>
    <t>NGER Method 3-4 principles [7]</t>
  </si>
  <si>
    <t>Associated Gas Venting</t>
  </si>
  <si>
    <t>Engineering Calculation using volume of oil produced, gas to oil ratio (GOR), and volume of associated gas sent to sales</t>
  </si>
  <si>
    <t>OGMP TGD Purging and venting (L4)[4];</t>
  </si>
  <si>
    <t>40 CFR 98.233(m)</t>
  </si>
  <si>
    <t>WCI.363(j)</t>
  </si>
  <si>
    <t>AQM Section 4.2.2, 4.2.3</t>
  </si>
  <si>
    <t>NGER Method 3-4 principles</t>
  </si>
  <si>
    <t>Blowdowns
(Compressors)*</t>
  </si>
  <si>
    <t>Emission-factor based calculation using an emission factor representative of the blown down equipment, along with the number of compressors of like type.</t>
  </si>
  <si>
    <t>2021 API Compendium 6.4.6.1;</t>
  </si>
  <si>
    <t>OGMP TGD Purging and venting (L3-L4);</t>
  </si>
  <si>
    <t>40 CFR 98.233 (i);</t>
  </si>
  <si>
    <t>WCI.363(g);</t>
  </si>
  <si>
    <t>AQM Eqn. 4-5a, 4-5b;</t>
  </si>
  <si>
    <t xml:space="preserve">NGER Method 3-4 principles </t>
  </si>
  <si>
    <t>Blowdowns
(Vessels)*</t>
  </si>
  <si>
    <t xml:space="preserve">Emission-factor based calculation using an emission factor representative of the blown down equipment, along with the number of vessels of like type. </t>
  </si>
  <si>
    <t xml:space="preserve">AQM Eqn. 4-5a, 4-5b; </t>
  </si>
  <si>
    <t>Combustion Units
(Gas compressor drivers)</t>
  </si>
  <si>
    <t>Emission-factor based calculation using an emission factor of incomplete combustion representative of the combustion unit type, along with fuel consumption volumes and fuel composition data</t>
  </si>
  <si>
    <t>OGMP TGD Incomplete combustion (L3-L4);</t>
  </si>
  <si>
    <t>2021 API Compendium 4.5.2;</t>
  </si>
  <si>
    <t>WCI.363(w) or WCI.20 dependent on fuel type;</t>
  </si>
  <si>
    <t>AQM Eqn. 1-5, 1-5a;</t>
  </si>
  <si>
    <t>Combustion Units
(Non-compressor drivers)</t>
  </si>
  <si>
    <t xml:space="preserve">2021 API Compendium 4.5.2; </t>
  </si>
  <si>
    <t>WCI.20 or WCI.363(w) depending on fuel type;</t>
  </si>
  <si>
    <t>Compressor Starts*</t>
  </si>
  <si>
    <t>Emission-factor based calculation using an emission factor representative of the compressor starter, along with the number of starts.</t>
  </si>
  <si>
    <t>2021 API Compendium 6.4.6.2;</t>
  </si>
  <si>
    <t>AQM 4.19</t>
  </si>
  <si>
    <t>Compressor Venting
(Centrifugal – dry seals)*</t>
  </si>
  <si>
    <t>Emission-factor based calculation using an emission factor that best represents seal venting emissions based on seal type and compressor operating conditions along with actual, relevant activity data (i.e. number of compressors or number of seals).</t>
  </si>
  <si>
    <t>OGMP TGD Centrifugal compressors (L3-L4);</t>
  </si>
  <si>
    <t>40 CFR 98.233(o)[6];</t>
  </si>
  <si>
    <t>WCI.363(l);</t>
  </si>
  <si>
    <t>AQM 4.9.4[8];</t>
  </si>
  <si>
    <t>NGER Method 3-4 principles[7];</t>
  </si>
  <si>
    <t>GHGI</t>
  </si>
  <si>
    <t>Compressor Venting
(Centrifugal – wet seals)</t>
  </si>
  <si>
    <t>OGMP TGD Centrifugal compressors (L3-L4)[4];</t>
  </si>
  <si>
    <t>40 CFR 98.233(o)(10);</t>
  </si>
  <si>
    <t>AQM 4.9.2. 4.9.3, 4.9.4;</t>
  </si>
  <si>
    <t>Compressor Venting 
(Reciprocating compressors)</t>
  </si>
  <si>
    <t>Emission-factor based calculation using an emission factor that best represents rod packing venting emissions based on compressor operating conditions along with actual, relevant activity data (i.e. number of compressors or number of cylinders).</t>
  </si>
  <si>
    <t>OGMP TGD Reciprocating compressors (L4);</t>
  </si>
  <si>
    <t>40 CFR 98.233(p);</t>
  </si>
  <si>
    <t>WCI.363(m);</t>
  </si>
  <si>
    <t>Dehydrator Vents</t>
  </si>
  <si>
    <t>Engineering calculations or computer modeling dependent on the type of dehydrator</t>
  </si>
  <si>
    <t xml:space="preserve">OGMP TGD Glycol dehydrators (L4); </t>
  </si>
  <si>
    <t>40 CFR 98.233(e);</t>
  </si>
  <si>
    <t>WCI.363(d);</t>
  </si>
  <si>
    <t>AQM 4.10.2;</t>
  </si>
  <si>
    <t>NGER Method 3-4 Principles</t>
  </si>
  <si>
    <t>OGMP TGD Purging and venting (L4);</t>
  </si>
  <si>
    <t>Equipment Leaks
(All Fugitive Components)</t>
  </si>
  <si>
    <r>
      <t>Emission factor-based method using an actual count of leaking equipment and components determined by equipment leak surveys and an emission factor representative of the Facility. Note that leaks identified by non-regulatory LDAR surveys MUST also be included.</t>
    </r>
    <r>
      <rPr>
        <u/>
        <vertAlign val="superscript"/>
        <sz val="10"/>
        <color rgb="FF07AF97"/>
        <rFont val="Nunito Sans"/>
      </rPr>
      <t>[3]</t>
    </r>
  </si>
  <si>
    <t>OGMP TGD Leaks (L3-L4);</t>
  </si>
  <si>
    <t>40 CFR 98.233(q);</t>
  </si>
  <si>
    <t>WCI.363(n);</t>
  </si>
  <si>
    <t>NGER Method 2-4 Principles</t>
  </si>
  <si>
    <t>Equipment Leaks
(Gathering Pipelines)</t>
  </si>
  <si>
    <t>Emission-factor based calculation using an emission factor for leakage dependent on the type of material of pipeline or another differentiating factor of pipeline performance, along with the number of miles of pipeline.</t>
  </si>
  <si>
    <t>OGMP TGD Leaks and permeation from underground pipes</t>
  </si>
  <si>
    <t>40 CFR 98.233(r)</t>
  </si>
  <si>
    <t>WCI.363(o)(2)</t>
  </si>
  <si>
    <t>Flare Stacks</t>
  </si>
  <si>
    <t>Engineering calculation using flare gas flow rate, flare gas composition and a representative destruction efficiency.</t>
  </si>
  <si>
    <t>OGMP TGD Flare efficiency (L3-L4);</t>
  </si>
  <si>
    <t>2021 API Compendium Table C-13;</t>
  </si>
  <si>
    <t>40 CFR 98.233(n);</t>
  </si>
  <si>
    <t>WCI.353(d);</t>
  </si>
  <si>
    <t>AQM 2.3 Method 2-1 thru 2-3;</t>
  </si>
  <si>
    <t>Gas-driven pneumatic controllers</t>
  </si>
  <si>
    <t>Emission factor-based method using an actual inventory of each type of pneumatic device and an emission factor representative of the vent rate and actuation frequency of the device.</t>
  </si>
  <si>
    <t>OGMP TGD Pneumatics (L3-L4);</t>
  </si>
  <si>
    <t>40 CFR 98.233(a)</t>
  </si>
  <si>
    <t>WCI.363(a, b, b.1);</t>
  </si>
  <si>
    <t>AQM 4.7.2, 4.7.3, 4.7.4;</t>
  </si>
  <si>
    <t>Gas-driven pneumatic pumps</t>
  </si>
  <si>
    <t>Engineering Calculation using count of devices and default or manufacturer-specific emission factors.</t>
  </si>
  <si>
    <t>40 CFR 98.233(c)</t>
  </si>
  <si>
    <t>WCI.363(a.1);</t>
  </si>
  <si>
    <t>AQM 4.8.2 thru 4.8.4</t>
  </si>
  <si>
    <t>Liquids Unloading</t>
  </si>
  <si>
    <t>Engineering Calculation using well vent time, measured or estimated gas flow rate, casing/tubing/well dimensions and pressures, and use of emission controls if applicable.</t>
  </si>
  <si>
    <t>2021 API Compendium 6.3.4;</t>
  </si>
  <si>
    <t>40 CFR 98.233(f);</t>
  </si>
  <si>
    <t>WCI.363(e);</t>
  </si>
  <si>
    <t>AQM Section 4.18;</t>
  </si>
  <si>
    <t>Storage Vessels
(Hydrocarbon, Floating* and Fixed-roof)</t>
  </si>
  <si>
    <t xml:space="preserve">Engineering Calculations or process modeling tools such as AspenTech HYSYS or TankESP accounting for parameters including upstream separator temperature/pressure and composition, API gravity and production rate of stabilized oil, and ambient conditions. </t>
  </si>
  <si>
    <t>2021 API Compendium 6.3.9.1 6.3.9.2, 6.3.9.3;</t>
  </si>
  <si>
    <t>40 CFR 98.233(j);</t>
  </si>
  <si>
    <t>WCI.363(h);</t>
  </si>
  <si>
    <t>Upsets
(PRVs)*</t>
  </si>
  <si>
    <t>Emission-factor based calculation using a representative emission factor, along with the number of PRVs.</t>
  </si>
  <si>
    <t>2021 API Compendium 6.3.11;</t>
  </si>
  <si>
    <t>GHGI;</t>
  </si>
  <si>
    <t>AQM 4.20</t>
  </si>
  <si>
    <t xml:space="preserve">Well Completions (with hydraulic fracturing or from Coal Bed Methane) </t>
  </si>
  <si>
    <t>Engineering Calculation using actual or representative gas production rates, flowback</t>
  </si>
  <si>
    <t>2021 API Compendium 6.2.3.1;</t>
  </si>
  <si>
    <t>40 CFR 98.233(g);</t>
  </si>
  <si>
    <t>WCI.363(f);</t>
  </si>
  <si>
    <t>AQM 4.16;</t>
  </si>
  <si>
    <t>Well Completions
(without hydraulic fracturing)</t>
  </si>
  <si>
    <t>Engineering Calculation using gas production rate per completed well and time that gas is vented per completed well</t>
  </si>
  <si>
    <t>2021 API Compendium 6.2.3.2;</t>
  </si>
  <si>
    <t>Well Drilling*</t>
  </si>
  <si>
    <t xml:space="preserve">Emission-factor based calculation using a representative emission factor, along with the number of drilling days. </t>
  </si>
  <si>
    <t>2021 API Compendium 6.2.1;</t>
  </si>
  <si>
    <t>OGMP TGD Purging and venting (L3)</t>
  </si>
  <si>
    <t xml:space="preserve">Well Workovers (with hydraulic fracturing or from Coal Bed Methane) </t>
  </si>
  <si>
    <t>Well Workovers
(without Hydraulic Fracturing)</t>
  </si>
  <si>
    <t>Emission-factor based calculation using an emission factor along with the number of workovers without hydraulic fracturing.</t>
  </si>
  <si>
    <t>2021 API Compendium 6.3.2;</t>
  </si>
  <si>
    <t>Well Testing</t>
  </si>
  <si>
    <t>Engineering Calculation using oil and gas production rates (GOR), average annual flow rate, and testing durations</t>
  </si>
  <si>
    <t>2021 API Compendium 6.2.2;</t>
  </si>
  <si>
    <t>40 CFR 98.233 (l);</t>
  </si>
  <si>
    <t>Other emission sources</t>
  </si>
  <si>
    <t xml:space="preserve">Operator must disclose other emission sources at their facility, document total emissions and demonstrate representative emission calculation methodologies for each source. Other sources for onshore production may include casinghead gas venting, produced water tanks, truck loading, and mud degassing. </t>
  </si>
  <si>
    <r>
      <t>Source-dependent</t>
    </r>
    <r>
      <rPr>
        <u/>
        <vertAlign val="superscript"/>
        <sz val="11"/>
        <color rgb="FF07AF97"/>
        <rFont val="Nunito Sans"/>
      </rPr>
      <t>[4]</t>
    </r>
  </si>
  <si>
    <t>[1] These reference methods are a non-exhaustible list of acceptable methods for an operator to calculate each emission source in their bottom-up inventory. The calculation methods referenced are regionally specific in some cases but reinforce that operators have multiple options to calculate their bottom-up inventory.</t>
  </si>
  <si>
    <t>[2] The GHGI is derived to develop US-wide emission factors for certain sources. While MiQ allows these emission factors to be used to account for certain sources in a bottom-up inventory, usage of these factors will create a less-facility specific bottom-up inventory which may impact an operator’s reconciliation process. Year-over-year as measurement data becomes more available, operators should eliminate usage of generic factors.</t>
  </si>
  <si>
    <t>[3] An operator may use a population count method to calculate fugitive emissions if it is determined in the Annual Audit that the method likely conservatively estimates emissions relative to other bottom-up inventory approaches. The operator must show annual progress towards a bottom-up inventory calculation that meets or exceeds the requirements listed. The operator must still include any fugitive emissions identified during surveys if generic population count emission methodologies are used.</t>
  </si>
  <si>
    <t>[4] Product allocation for methane emissions other emission sources should be determined by the Operator and approved during the Annual Audit</t>
  </si>
  <si>
    <t>Facility-Level Inputs</t>
  </si>
  <si>
    <t>Facility-Level Outputs V0.9</t>
  </si>
  <si>
    <t>Quantification Methodology</t>
  </si>
  <si>
    <t>Select from drop-down</t>
  </si>
  <si>
    <t>Total Methane Emissions [tonnes]</t>
  </si>
  <si>
    <t>Facility Type</t>
  </si>
  <si>
    <t>Conventional Oil</t>
  </si>
  <si>
    <t>Methane Intensity [unitless %]</t>
  </si>
  <si>
    <t>Gas-to-oil ratio [m3 gas/m3 oil]</t>
  </si>
  <si>
    <t>default value provided, overwrite with actual if available</t>
  </si>
  <si>
    <t>Gas-in-solution ratio [m3 gas/m3 oil]</t>
  </si>
  <si>
    <t>Methane Content Gas [%]</t>
  </si>
  <si>
    <t>Methane Content Tank Vapours [%]</t>
  </si>
  <si>
    <t>Facility-Level Outputs V1.0</t>
  </si>
  <si>
    <t>HHV [MJ/m3] Natural Gas</t>
  </si>
  <si>
    <t>HHV [MJ/m3] Liquid</t>
  </si>
  <si>
    <t>Methane Intensity</t>
  </si>
  <si>
    <t>Gas Ratio [%]</t>
  </si>
  <si>
    <t>calculated based on MiQ V1.0 Guidance</t>
  </si>
  <si>
    <t>Annual Gas Production</t>
  </si>
  <si>
    <t>input cell with total annual volume</t>
  </si>
  <si>
    <r>
      <t xml:space="preserve">MiQ Definition: (ME </t>
    </r>
    <r>
      <rPr>
        <vertAlign val="subscript"/>
        <sz val="11"/>
        <color theme="1"/>
        <rFont val="Nunito Sans"/>
      </rPr>
      <t>energy-allocated</t>
    </r>
    <r>
      <rPr>
        <sz val="11"/>
        <color theme="1"/>
        <rFont val="Nunito Sans"/>
      </rPr>
      <t xml:space="preserve"> + ME </t>
    </r>
    <r>
      <rPr>
        <vertAlign val="subscript"/>
        <sz val="11"/>
        <color theme="1"/>
        <rFont val="Nunito Sans"/>
      </rPr>
      <t>gas-only</t>
    </r>
    <r>
      <rPr>
        <sz val="11"/>
        <color theme="1"/>
        <rFont val="Nunito Sans"/>
      </rPr>
      <t>) / Volume Natural Gas * Methane Content * Methane Density</t>
    </r>
  </si>
  <si>
    <t>Gas Production Unit of Measurement</t>
  </si>
  <si>
    <t>m3</t>
  </si>
  <si>
    <r>
      <t xml:space="preserve">Where: ME </t>
    </r>
    <r>
      <rPr>
        <vertAlign val="subscript"/>
        <sz val="11"/>
        <color theme="1"/>
        <rFont val="Nunito Sans"/>
      </rPr>
      <t>energy-allocated</t>
    </r>
    <r>
      <rPr>
        <sz val="11"/>
        <color theme="1"/>
        <rFont val="Nunito Sans"/>
      </rPr>
      <t xml:space="preserve"> = GR × ∑ energy-allocated sources and ME </t>
    </r>
    <r>
      <rPr>
        <vertAlign val="subscript"/>
        <sz val="11"/>
        <color theme="1"/>
        <rFont val="Nunito Sans"/>
      </rPr>
      <t>gas-only</t>
    </r>
    <r>
      <rPr>
        <sz val="11"/>
        <color theme="1"/>
        <rFont val="Nunito Sans"/>
      </rPr>
      <t xml:space="preserve"> = ∑ gas-only sources</t>
    </r>
  </si>
  <si>
    <t>Annual Liquids Production (e.g., Oil, Condensate)</t>
  </si>
  <si>
    <t>Liquids Production Unit of Measurement</t>
  </si>
  <si>
    <t>Fugitive Survey Frequency with OGI [#/year]</t>
  </si>
  <si>
    <t>Fugitive Emissions Estimation Method</t>
  </si>
  <si>
    <t>Component Counts</t>
  </si>
  <si>
    <t>Version of MiQ Guidance Utilized</t>
  </si>
  <si>
    <t>Reconciliation Factor</t>
  </si>
  <si>
    <t>enter percentage of emissions change due to reconciliation</t>
  </si>
  <si>
    <t>Included in Regulatory Inventory</t>
  </si>
  <si>
    <t>MiQ Table Category</t>
  </si>
  <si>
    <t>Equipment Type</t>
  </si>
  <si>
    <t>Equipment Count</t>
  </si>
  <si>
    <t>Annual Operating Hours</t>
  </si>
  <si>
    <t>Annual Volume of 
Fuel/Flare/Vent gas</t>
  </si>
  <si>
    <t>Volume Units (select drop-down)</t>
  </si>
  <si>
    <t>Justification if not using defaults</t>
  </si>
  <si>
    <t>Y</t>
  </si>
  <si>
    <t>Pneumatic Device (Controller)Vents, Natural Gas</t>
  </si>
  <si>
    <t>High Continuous Bleed Pneumatic Device</t>
  </si>
  <si>
    <t>Low Continuous Bleed Pneumatic Device</t>
  </si>
  <si>
    <t>Intermittent Bleed Pneumatic Device</t>
  </si>
  <si>
    <t>US and BC WCI</t>
  </si>
  <si>
    <t>Pneumatic (Chemical Injection) Pump Vents, Natural Gas Driven</t>
  </si>
  <si>
    <t>Generic Pneumatic Pump</t>
  </si>
  <si>
    <t>Alberta</t>
  </si>
  <si>
    <t>Pneumatic Diaphragm Pump</t>
  </si>
  <si>
    <t>Pneumatic Piston Pump</t>
  </si>
  <si>
    <t>Combustion Units (e.g. heaters, treaters, engines, generators)</t>
  </si>
  <si>
    <t>Engine 4 Stroke Lean-Burn</t>
  </si>
  <si>
    <t>Engine 4 Stroke Rich-Burn</t>
  </si>
  <si>
    <t>Engine 2 Stroke Lean-Burn</t>
  </si>
  <si>
    <t>Boiler/Line Heater/Treater/Catadynes</t>
  </si>
  <si>
    <t>Turbine</t>
  </si>
  <si>
    <t>TEG/Generator</t>
  </si>
  <si>
    <t>Dehydrator Vents, Glycol</t>
  </si>
  <si>
    <t>Glycol Dehydrator</t>
  </si>
  <si>
    <t>Dehydrator Vents, Desiccant</t>
  </si>
  <si>
    <t>Dessicant Dehydrator</t>
  </si>
  <si>
    <t>Compressor Venting (reciprocating compressors)</t>
  </si>
  <si>
    <t>Reciprocating Compressor Seal Vent</t>
  </si>
  <si>
    <t>Compressor Venting (centrifugal compressors)</t>
  </si>
  <si>
    <t>Centrifugal Compressor Wet Seal Vent</t>
  </si>
  <si>
    <t>Centrifugal Compressor Dry Seal Vent</t>
  </si>
  <si>
    <t>Associated Gas Flaring (aka Flare stack emissions)</t>
  </si>
  <si>
    <t>Associated Gas Flare Stack</t>
  </si>
  <si>
    <t>Emergency Flare Stack</t>
  </si>
  <si>
    <t>Storage Vessels, Fixed or Floating Roof, Hydrocarbon Storage</t>
  </si>
  <si>
    <t>Hydrocarbon Storage Tank</t>
  </si>
  <si>
    <t>N</t>
  </si>
  <si>
    <t>Storage Vessels, Produced Water</t>
  </si>
  <si>
    <t>Produced Water Tank</t>
  </si>
  <si>
    <t>Event Type</t>
  </si>
  <si>
    <t>Number of Events per Year</t>
  </si>
  <si>
    <t>Annual Volume of Vent gas</t>
  </si>
  <si>
    <t>Volume Units 
(select drop-down)</t>
  </si>
  <si>
    <t>Blowdowns - Compressors</t>
  </si>
  <si>
    <t>Compressor Blowdown</t>
  </si>
  <si>
    <t>Blowdowns – Vessels</t>
  </si>
  <si>
    <t>Vessel Blowdown</t>
  </si>
  <si>
    <t>Blowdowns</t>
  </si>
  <si>
    <t>ESD Plant-wide blowdown</t>
  </si>
  <si>
    <t>Blowdown Vent Stack</t>
  </si>
  <si>
    <t>Pigging</t>
  </si>
  <si>
    <t>Well vent liquids unloading</t>
  </si>
  <si>
    <t>Well Testing Venting &amp; Flaring</t>
  </si>
  <si>
    <t>Well testing</t>
  </si>
  <si>
    <t>Well Venting During Well Workovers without Hydraulic Fracturing</t>
  </si>
  <si>
    <t>Well workovers</t>
  </si>
  <si>
    <t>Well Venting During Well Completions without Hydraulic Fracturing</t>
  </si>
  <si>
    <t>Well completions</t>
  </si>
  <si>
    <t>Compressor starts</t>
  </si>
  <si>
    <t>Pressure Relief Valves, Upsets</t>
  </si>
  <si>
    <t>PSV upsets</t>
  </si>
  <si>
    <t>Well Drilling</t>
  </si>
  <si>
    <t>Well drilling vents</t>
  </si>
  <si>
    <t>Fugitive Leaks</t>
  </si>
  <si>
    <t>Number of Leaking Components</t>
  </si>
  <si>
    <t>Annual Leaking Hours</t>
  </si>
  <si>
    <t>Leak Rate/hour</t>
  </si>
  <si>
    <t>Volume Units</t>
  </si>
  <si>
    <t>Equipment Leaks</t>
  </si>
  <si>
    <t>Valve</t>
  </si>
  <si>
    <t>m3/hr</t>
  </si>
  <si>
    <t>Connector</t>
  </si>
  <si>
    <t>Open-ended Line</t>
  </si>
  <si>
    <t>Pressure-Relief</t>
  </si>
  <si>
    <t>Other Emission Source</t>
  </si>
  <si>
    <t>Number of Units</t>
  </si>
  <si>
    <t>Volume</t>
  </si>
  <si>
    <t>Category 
(drop down)</t>
  </si>
  <si>
    <t>Methane Emissions [tonnes]</t>
  </si>
  <si>
    <t>As applicable</t>
  </si>
  <si>
    <t>Other</t>
  </si>
  <si>
    <t>Add rows as needed</t>
  </si>
  <si>
    <t>Sum of other emissions</t>
  </si>
  <si>
    <t>HHV [GJ/m3]</t>
  </si>
  <si>
    <t>Methane Density [kg/m3]</t>
  </si>
  <si>
    <t>Methane Emissions Calculations Total Annual Values by Equipment Type</t>
  </si>
  <si>
    <t>Allocation</t>
  </si>
  <si>
    <t>Equipment</t>
  </si>
  <si>
    <t>Methane Emissions [tonnes/year]</t>
  </si>
  <si>
    <t>Calculation</t>
  </si>
  <si>
    <t>Subchapter C Part 98</t>
  </si>
  <si>
    <t>AQM Reference</t>
  </si>
  <si>
    <t>Assumptions</t>
  </si>
  <si>
    <t>device count*hours*vent rate*Methane Content Gas* Methane Density*0.001</t>
  </si>
  <si>
    <t>§ 98.233 (a) Eq. W-1</t>
  </si>
  <si>
    <t>4.7.2 (2) Eq. 4-10</t>
  </si>
  <si>
    <t>Assuming no control factor. Default Vent rates utilized from Manual 015, new proposed GHGRP rules, and BC WCI (see methodology document)</t>
  </si>
  <si>
    <t>Assuming no control factor. Default Vent rates utilized from Manual 015 and new proposed GHGRP rules. Use generic if pump type is unknown (see methodology document)</t>
  </si>
  <si>
    <t>Assuming no control factor. Specific pump types applicable for AB Default rates from Manual 015 (see methodology document)</t>
  </si>
  <si>
    <t>Natural Gas</t>
  </si>
  <si>
    <t>Fuel * (HHV/1000)*Energy Emission Factor</t>
  </si>
  <si>
    <t>§ 98.33 (c) (1) Eq. C-9a</t>
  </si>
  <si>
    <t>1.3.2 (2) Eq. 1-5</t>
  </si>
  <si>
    <t>HHV converted to GJ/m3. Factors derived from AP-42 so AB GHG factors assumed to be the same.</t>
  </si>
  <si>
    <t>Boiler/Heater</t>
  </si>
  <si>
    <t>HHV converted to GJ/m3. Factors derived from AP-42 so AB GHG factors assumed to be the same. Assumed factor for 4-stroke lean-burn engine.</t>
  </si>
  <si>
    <t>unit count*volume*Methane Content Gas* Methane Density*0.001</t>
  </si>
  <si>
    <t>§ 98.233 (e) (1)</t>
  </si>
  <si>
    <t>4.10.2 (2)</t>
  </si>
  <si>
    <t>General vent calculation used from AQM 4.1.2 (2) Eq. 4-1b for estimation purposes. Referenced equation should be utilized for determining volumes based on simulations.</t>
  </si>
  <si>
    <t>4.4.1 (2) Eq. 4-4</t>
  </si>
  <si>
    <t>General vent calculation used from AQM 4.1.2 (2) Eq. 4-1b for estimation purposes. Referenced equation should be utilized for determining volumes.</t>
  </si>
  <si>
    <t>unit count*vent rate*number of throws* Methane Content Gas* Methane Density*0.001</t>
  </si>
  <si>
    <t>4.9.2 (2) Eq.4-14a</t>
  </si>
  <si>
    <t>Default compressor seal vent rates utilized from AGM section 4.9.2</t>
  </si>
  <si>
    <t>unit count*vent rate* Methane Content Gas* Methane Density*0.001</t>
  </si>
  <si>
    <t>unit count*Production*GOR*Destruction Efficiency*Methane Content Gas* Methane Density*0.001</t>
  </si>
  <si>
    <t>§ 98.233 (m) Eq. W-18</t>
  </si>
  <si>
    <t>Chapter 2</t>
  </si>
  <si>
    <t>Default destruction efficiency of 98% assumed. SubpartW calculation assumed.</t>
  </si>
  <si>
    <t>unit count*Flared Volume*Destruction Efficiency*Methane Content Gas* Methane Density*0.001</t>
  </si>
  <si>
    <t>§ 98.233 (n) Eq. W-19</t>
  </si>
  <si>
    <t>Default destruction efficiency of 98% assumed. Flaring volumes should be estimated or measured.</t>
  </si>
  <si>
    <t>Fixed Roof Tank</t>
  </si>
  <si>
    <t>unit count*Production*GIS*Methane Content Tank Vapours* Methane Density*0.001</t>
  </si>
  <si>
    <t>§ 98.233 (j)</t>
  </si>
  <si>
    <t>Section 4.6</t>
  </si>
  <si>
    <t xml:space="preserve">Assuming no control. Vented volume should be quantified with enginnering calculations. GIS rate utilized for estimation purposes. </t>
  </si>
  <si>
    <t>number of events*volume*Methane Content Gas* Methane Density*0.001</t>
  </si>
  <si>
    <t>§ 98.233 (i) Eq. W-14a</t>
  </si>
  <si>
    <t>4.17.1 (2) Eq. 4-5a/b</t>
  </si>
  <si>
    <t>4.5.1 (2) Eq. 4-5a/b</t>
  </si>
  <si>
    <t>§ 98.233 (f)</t>
  </si>
  <si>
    <t>4.18.2 (2) Eq. 4-20</t>
  </si>
  <si>
    <t>number of days tested*Production*GOR*Methane Content Gas* Methane Density*0.001</t>
  </si>
  <si>
    <t>§ 98.233 (l) Eq. W-17</t>
  </si>
  <si>
    <t>4.16.2 (2) Eq. 4-19</t>
  </si>
  <si>
    <t>SubpartW calculation assumed</t>
  </si>
  <si>
    <t>number of events*Production*GOR*Methane Content Gas* Methane Density*0.001</t>
  </si>
  <si>
    <t>§ 98.233 (g)</t>
  </si>
  <si>
    <t>4.19.1 (2) Eq. 4-22</t>
  </si>
  <si>
    <t>4.20 (2)</t>
  </si>
  <si>
    <t>number of leaking components*hours*leak rate*Methane Content Gas*Methane Density*0.001</t>
  </si>
  <si>
    <t>§ 98.233 (q)</t>
  </si>
  <si>
    <t>Manual 015</t>
  </si>
  <si>
    <t>Fugitives Based on Actual Component Counts</t>
  </si>
  <si>
    <t>sum of fugitives based on actual operator counts and rates</t>
  </si>
  <si>
    <t>Fugitives Based on Profiles</t>
  </si>
  <si>
    <t>profile scenarios based on number of OGI surveys</t>
  </si>
  <si>
    <t>Total Fugitives</t>
  </si>
  <si>
    <t>if fugitives based on actual = 0, then use the profiles</t>
  </si>
  <si>
    <t>TBD</t>
  </si>
  <si>
    <t>direct input for other methane emissions not captured in the tool</t>
  </si>
  <si>
    <t>Equipment Category</t>
  </si>
  <si>
    <t>Heavy Oil</t>
  </si>
  <si>
    <t>Wet Gas</t>
  </si>
  <si>
    <t>Dry Gas</t>
  </si>
  <si>
    <t xml:space="preserve">Wet Gas/Conventional Oil </t>
  </si>
  <si>
    <t>Jurisdiction</t>
  </si>
  <si>
    <t>British Columbia</t>
  </si>
  <si>
    <t>Eastern US (Marcellus)</t>
  </si>
  <si>
    <t>Western US (Delaware)</t>
  </si>
  <si>
    <t>Pneumatics</t>
  </si>
  <si>
    <t>Pneumatic Instruments - High Bleed</t>
  </si>
  <si>
    <t>Pneumatic Instruments - Intermittent Bleed</t>
  </si>
  <si>
    <t>Pneumatic Instruments - Low Bleed</t>
  </si>
  <si>
    <t>Pneumatic Pumps</t>
  </si>
  <si>
    <t>Leaking Components</t>
  </si>
  <si>
    <t>Leaking Valve</t>
  </si>
  <si>
    <t>Leaking Connector</t>
  </si>
  <si>
    <t>Leaking Open-Ended Line</t>
  </si>
  <si>
    <t>Leaking Pressure-Relief</t>
  </si>
  <si>
    <t>Gathering Leaks - Pipelines</t>
  </si>
  <si>
    <t>Tanks</t>
  </si>
  <si>
    <t>Floating Roof Tank</t>
  </si>
  <si>
    <t xml:space="preserve">Other Venting </t>
  </si>
  <si>
    <t>Centrifugal Compressors</t>
  </si>
  <si>
    <t>Reciprocating Compressors</t>
  </si>
  <si>
    <t>Dehy</t>
  </si>
  <si>
    <t>Combustion</t>
  </si>
  <si>
    <t>Engines</t>
  </si>
  <si>
    <t>Boilers/heaters</t>
  </si>
  <si>
    <t>Flaring</t>
  </si>
  <si>
    <t>Associated Gas Flaring</t>
  </si>
  <si>
    <t>Flare Stack</t>
  </si>
  <si>
    <t>Events</t>
  </si>
  <si>
    <t>Acid Gas removal Vents</t>
  </si>
  <si>
    <t>Compressor Blowdowns</t>
  </si>
  <si>
    <t>ESD Blowdowns</t>
  </si>
  <si>
    <t>Pneumatic Devices</t>
  </si>
  <si>
    <t>Emission Factor AQM [m3/hour]</t>
  </si>
  <si>
    <t>Emission Factor WCI [m3/hour]</t>
  </si>
  <si>
    <t>Emission Factor GHGRP [m3/hour]</t>
  </si>
  <si>
    <t>Emission Factor GHGRP [scf/hr]</t>
  </si>
  <si>
    <t>Compressors</t>
  </si>
  <si>
    <t>Emission Factor WCI [m3/hour]*</t>
  </si>
  <si>
    <t>Number of Seals</t>
  </si>
  <si>
    <t>Units</t>
  </si>
  <si>
    <t>m3/hr/unit</t>
  </si>
  <si>
    <t>*Alberta AQM Default Factor</t>
  </si>
  <si>
    <t>Combustion Equipment</t>
  </si>
  <si>
    <t>Emission Factor [t/GJ]</t>
  </si>
  <si>
    <t>Deafult Values</t>
  </si>
  <si>
    <t>Gas-to-oil ratio 
[m3 gas/m3 oil]</t>
  </si>
  <si>
    <t>Gas-in-solution ratio 
[m3 gas/m3 oil]</t>
  </si>
  <si>
    <t>HHV [MJ/m3] Liquids</t>
  </si>
  <si>
    <t>Gas Volume Ratio [%]</t>
  </si>
  <si>
    <t>Destruction Efficiency of Flares [%]</t>
  </si>
  <si>
    <t>Leak rates (m3/hour)</t>
  </si>
  <si>
    <t>Counts</t>
  </si>
  <si>
    <t>No surveys</t>
  </si>
  <si>
    <t>Open-Ended Line</t>
  </si>
  <si>
    <t>Hours</t>
  </si>
  <si>
    <t>Total Volume [m3]</t>
  </si>
  <si>
    <t>BC WCI</t>
  </si>
  <si>
    <t>*</t>
  </si>
  <si>
    <t>**</t>
  </si>
  <si>
    <t>1 OGI per year</t>
  </si>
  <si>
    <t>3 OGI per year</t>
  </si>
  <si>
    <t>4 OGI per year</t>
  </si>
  <si>
    <t>Factors if surveyed used Method 21 § 98.234 (a)(2)(i)</t>
  </si>
  <si>
    <t>Factors if surveyed used Method 21 § 98.234 (a)(2)(ii)</t>
  </si>
  <si>
    <t>US GHGRP Revisions</t>
  </si>
  <si>
    <t>AB GHG Quantification Methodologies</t>
  </si>
  <si>
    <t>Annual Gas Production to Sales</t>
  </si>
  <si>
    <t>scf</t>
  </si>
  <si>
    <t>bbls</t>
  </si>
  <si>
    <t>V1.0</t>
  </si>
  <si>
    <t>If there are other applicable sources not reflected in the tool, use the table starting in row 67 of the inputs and outputs tab to manually enter total emissions from that source</t>
  </si>
  <si>
    <t>Indicate whether V0.9 or V1.0 of the MiQ methodology is being used in the Inputs and Outputs tab cell D20 . This will be reflected in the methane intensity allocation</t>
  </si>
  <si>
    <t>If reconciliation is performed, enter the value of of how much emissions increased or decreased, as a percentage, in the Inputs and Outputs tab. Cell D21</t>
  </si>
  <si>
    <t>MiQ Definition: Methane Emissions * Gas Ratio / Natural Gas Throughput * Methane Content * Methane Density</t>
  </si>
  <si>
    <t>Emission Factor GHGRP [scf/year]</t>
  </si>
  <si>
    <t>Emission Factor GHGRP [m3/year]</t>
  </si>
  <si>
    <t>m3/hr/throw for AB and BC, m3/year/unit for US</t>
  </si>
  <si>
    <t>§ 98.233 (p)(10) Eq. W-29D</t>
  </si>
  <si>
    <t>§ 98.233 (o)(10) Eq. W-25</t>
  </si>
  <si>
    <t>Alberta and BC WCI</t>
  </si>
  <si>
    <t>NGSI</t>
  </si>
  <si>
    <t>US</t>
  </si>
  <si>
    <t>BC</t>
  </si>
  <si>
    <t>NGSI Table 3</t>
  </si>
  <si>
    <t>28420.96 [kg/year]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</si>
</sst>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0.00000"/>
    <numFmt numFmtId="166" formatCode="0.000"/>
    <numFmt numFmtId="167" formatCode="_-* #,##0.0000_-;\-* #,##0.0000_-;_-* &quot;-&quot;??_-;_-@_-"/>
    <numFmt numFmtId="168" formatCode="0.00000000"/>
    <numFmt numFmtId="169" formatCode="_-* #,##0.0000000_-;\-* #,##0.0000000_-;_-* &quot;-&quot;??_-;_-@_-"/>
    <numFmt numFmtId="170" formatCode="0.000%"/>
  </numFmts>
  <fonts count="49">
    <font>
      <sz val="11"/>
      <color theme="1"/>
      <name val="Calibri"/>
      <family val="2"/>
      <scheme val="minor"/>
    </font>
    <font>
      <sz val="11"/>
      <color theme="1"/>
      <name val="Calibri"/>
      <family val="2"/>
      <scheme val="minor"/>
    </font>
    <font>
      <i/>
      <sz val="11"/>
      <color theme="1"/>
      <name val="Calibri"/>
      <family val="2"/>
      <scheme val="minor"/>
    </font>
    <font>
      <sz val="8"/>
      <name val="Calibri"/>
      <family val="2"/>
      <scheme val="minor"/>
    </font>
    <font>
      <u/>
      <sz val="11"/>
      <color theme="10"/>
      <name val="Calibri"/>
      <family val="2"/>
      <scheme val="minor"/>
    </font>
    <font>
      <b/>
      <sz val="12"/>
      <color theme="1"/>
      <name val="Calibri"/>
      <family val="2"/>
      <scheme val="minor"/>
    </font>
    <font>
      <b/>
      <sz val="11"/>
      <color theme="0"/>
      <name val="Nunito Sans Black"/>
    </font>
    <font>
      <sz val="11"/>
      <color theme="1"/>
      <name val="Nunito Sans SemiBold"/>
    </font>
    <font>
      <sz val="11"/>
      <color theme="1"/>
      <name val="Nunito Sans Light"/>
    </font>
    <font>
      <sz val="11"/>
      <color theme="1"/>
      <name val="Nunito Sans"/>
    </font>
    <font>
      <sz val="11"/>
      <name val="Nunito Sans"/>
    </font>
    <font>
      <i/>
      <sz val="9"/>
      <color theme="1"/>
      <name val="Nunito Sans Light"/>
    </font>
    <font>
      <sz val="10"/>
      <color theme="1"/>
      <name val="Nunito Sans"/>
    </font>
    <font>
      <sz val="11"/>
      <color theme="1"/>
      <name val="Nunito Sans ExtraBold"/>
    </font>
    <font>
      <b/>
      <sz val="11"/>
      <color theme="1"/>
      <name val="Nunito Sans"/>
    </font>
    <font>
      <b/>
      <sz val="11"/>
      <color theme="0"/>
      <name val="Nunito Sans ExtraBold"/>
    </font>
    <font>
      <i/>
      <sz val="8"/>
      <color theme="1"/>
      <name val="Nunito Sans Light"/>
    </font>
    <font>
      <sz val="9"/>
      <color theme="1"/>
      <name val="Nunito Sans"/>
    </font>
    <font>
      <sz val="9"/>
      <name val="Nunito Sans"/>
    </font>
    <font>
      <u/>
      <sz val="9"/>
      <color rgb="FF39978A"/>
      <name val="Nunito Sans"/>
    </font>
    <font>
      <i/>
      <sz val="9"/>
      <color theme="1"/>
      <name val="Nunito Sans"/>
    </font>
    <font>
      <b/>
      <sz val="9"/>
      <color theme="0"/>
      <name val="Nunito Sans ExtraBold"/>
    </font>
    <font>
      <b/>
      <sz val="9"/>
      <color theme="0"/>
      <name val="Nunito Sans"/>
    </font>
    <font>
      <b/>
      <sz val="12"/>
      <color theme="0"/>
      <name val="Nunito Sans ExtraBold"/>
    </font>
    <font>
      <sz val="12"/>
      <color theme="1"/>
      <name val="Nunito Sans"/>
    </font>
    <font>
      <b/>
      <sz val="11"/>
      <color theme="0"/>
      <name val="Suisse Int'l"/>
      <family val="2"/>
    </font>
    <font>
      <u/>
      <sz val="11"/>
      <color rgb="FF07AF97"/>
      <name val="Nunito Sans"/>
    </font>
    <font>
      <sz val="9"/>
      <color rgb="FF000000"/>
      <name val="Nunito Sans"/>
    </font>
    <font>
      <b/>
      <sz val="11"/>
      <color theme="1"/>
      <name val="Nunito Sans ExtraBold"/>
    </font>
    <font>
      <b/>
      <vertAlign val="superscript"/>
      <sz val="11"/>
      <color theme="1"/>
      <name val="Nunito Sans ExtraBold"/>
    </font>
    <font>
      <u/>
      <sz val="11"/>
      <color theme="0"/>
      <name val="Nunito Sans ExtraBold"/>
    </font>
    <font>
      <u/>
      <sz val="10"/>
      <color rgb="FF07AF97"/>
      <name val="Nunito Sans"/>
    </font>
    <font>
      <u/>
      <sz val="9"/>
      <color rgb="FF07AF97"/>
      <name val="Nunito Sans"/>
    </font>
    <font>
      <sz val="9"/>
      <color rgb="FF07AF97"/>
      <name val="Nunito Sans"/>
    </font>
    <font>
      <u/>
      <vertAlign val="superscript"/>
      <sz val="11"/>
      <color theme="0"/>
      <name val="Nunito Sans ExtraBold"/>
    </font>
    <font>
      <u/>
      <vertAlign val="superscript"/>
      <sz val="9"/>
      <color rgb="FF07AF97"/>
      <name val="Nunito Sans"/>
    </font>
    <font>
      <u/>
      <vertAlign val="superscript"/>
      <sz val="10"/>
      <color rgb="FF07AF97"/>
      <name val="Nunito Sans"/>
    </font>
    <font>
      <u/>
      <vertAlign val="superscript"/>
      <sz val="11"/>
      <color rgb="FF07AF97"/>
      <name val="Nunito Sans"/>
    </font>
    <font>
      <b/>
      <i/>
      <sz val="9"/>
      <color rgb="FF07AF97"/>
      <name val="Nunito Sans Light"/>
    </font>
    <font>
      <vertAlign val="subscript"/>
      <sz val="11"/>
      <color theme="1"/>
      <name val="Nunito Sans"/>
    </font>
    <font>
      <b/>
      <sz val="10"/>
      <color theme="1"/>
      <name val="Nunito Sans"/>
    </font>
    <font>
      <u/>
      <sz val="11"/>
      <color rgb="FF39978A"/>
      <name val="Nunito Sans"/>
    </font>
    <font>
      <sz val="11"/>
      <color rgb="FF39978A"/>
      <name val="Nunito Sans"/>
    </font>
    <font>
      <b/>
      <sz val="10"/>
      <color rgb="FF202124"/>
      <name val="Arial"/>
      <family val="2"/>
    </font>
    <font>
      <b/>
      <sz val="9"/>
      <name val="Nunito Sans ExtraBold"/>
    </font>
    <font>
      <b/>
      <sz val="10"/>
      <name val="Nunito Sans ExtraBold"/>
    </font>
    <font>
      <u/>
      <sz val="10"/>
      <name val="Nunito Sans ExtraBold"/>
    </font>
    <font>
      <b/>
      <sz val="12"/>
      <name val="Nunito Sans"/>
    </font>
    <font>
      <u/>
      <sz val="11"/>
      <color rgb="FF07AF97"/>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D6DBE0"/>
        <bgColor indexed="64"/>
      </patternFill>
    </fill>
    <fill>
      <patternFill patternType="solid">
        <fgColor theme="1"/>
        <bgColor indexed="64"/>
      </patternFill>
    </fill>
    <fill>
      <patternFill patternType="solid">
        <fgColor rgb="FFE2F2F6"/>
        <bgColor indexed="64"/>
      </patternFill>
    </fill>
    <fill>
      <patternFill patternType="solid">
        <fgColor rgb="FFDDF2F3"/>
        <bgColor indexed="64"/>
      </patternFill>
    </fill>
    <fill>
      <patternFill patternType="solid">
        <fgColor rgb="FF07AF97"/>
        <bgColor indexed="64"/>
      </patternFill>
    </fill>
    <fill>
      <patternFill patternType="solid">
        <fgColor rgb="FFD7DCE1"/>
        <bgColor indexed="64"/>
      </patternFill>
    </fill>
    <fill>
      <patternFill patternType="solid">
        <fgColor rgb="FFF0F2F4"/>
        <bgColor indexed="64"/>
      </patternFill>
    </fill>
    <fill>
      <patternFill patternType="solid">
        <fgColor rgb="FFEEF0F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right style="thin">
        <color theme="0"/>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indexed="64"/>
      </right>
      <top style="thin">
        <color indexed="64"/>
      </top>
      <bottom style="thin">
        <color theme="0"/>
      </bottom>
      <diagonal/>
    </border>
  </borders>
  <cellStyleXfs count="5">
    <xf numFmtId="0" fontId="0" fillId="0" borderId="0"/>
    <xf numFmtId="164" fontId="1"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207">
    <xf numFmtId="0" fontId="0" fillId="0" borderId="0" xfId="0"/>
    <xf numFmtId="0" fontId="0" fillId="2" borderId="0" xfId="0" applyFill="1"/>
    <xf numFmtId="0" fontId="5" fillId="2" borderId="0" xfId="0" applyFont="1" applyFill="1"/>
    <xf numFmtId="0" fontId="9" fillId="2" borderId="1" xfId="0" applyFont="1" applyFill="1" applyBorder="1"/>
    <xf numFmtId="0" fontId="9" fillId="2" borderId="0" xfId="0" applyFont="1" applyFill="1"/>
    <xf numFmtId="0" fontId="7" fillId="6" borderId="1" xfId="0" applyFont="1" applyFill="1" applyBorder="1" applyAlignment="1">
      <alignment horizontal="center"/>
    </xf>
    <xf numFmtId="0" fontId="13" fillId="2" borderId="1" xfId="0" applyFont="1" applyFill="1" applyBorder="1" applyAlignment="1">
      <alignment horizontal="right" indent="1"/>
    </xf>
    <xf numFmtId="0" fontId="8" fillId="2" borderId="0" xfId="0" applyFont="1" applyFill="1" applyAlignment="1">
      <alignment horizontal="left" indent="1"/>
    </xf>
    <xf numFmtId="0" fontId="14" fillId="2" borderId="0" xfId="0" applyFont="1" applyFill="1"/>
    <xf numFmtId="0" fontId="6" fillId="5" borderId="4" xfId="0" applyFont="1" applyFill="1" applyBorder="1" applyAlignment="1">
      <alignment vertical="center" wrapText="1"/>
    </xf>
    <xf numFmtId="0" fontId="17" fillId="2" borderId="1" xfId="0" applyFont="1" applyFill="1" applyBorder="1"/>
    <xf numFmtId="0" fontId="17" fillId="3" borderId="1" xfId="0" applyFont="1" applyFill="1" applyBorder="1"/>
    <xf numFmtId="0" fontId="17" fillId="2" borderId="0" xfId="0" applyFont="1" applyFill="1"/>
    <xf numFmtId="0" fontId="17" fillId="0" borderId="1" xfId="0" applyFont="1" applyBorder="1"/>
    <xf numFmtId="0" fontId="17" fillId="2" borderId="1" xfId="0" applyFont="1" applyFill="1" applyBorder="1" applyAlignment="1">
      <alignment horizontal="center"/>
    </xf>
    <xf numFmtId="0" fontId="17" fillId="3" borderId="1" xfId="0" applyFont="1" applyFill="1" applyBorder="1" applyAlignment="1">
      <alignment horizontal="center"/>
    </xf>
    <xf numFmtId="165" fontId="17" fillId="2" borderId="1" xfId="0" applyNumberFormat="1" applyFont="1" applyFill="1" applyBorder="1" applyAlignment="1">
      <alignment horizontal="center"/>
    </xf>
    <xf numFmtId="167" fontId="17" fillId="2" borderId="0" xfId="1" applyNumberFormat="1" applyFont="1" applyFill="1" applyBorder="1"/>
    <xf numFmtId="0" fontId="17" fillId="2" borderId="1" xfId="0" applyFont="1" applyFill="1" applyBorder="1" applyAlignment="1">
      <alignment horizontal="left" indent="1"/>
    </xf>
    <xf numFmtId="0" fontId="20" fillId="2" borderId="0" xfId="0" applyFont="1" applyFill="1" applyAlignment="1">
      <alignment horizontal="left" indent="1"/>
    </xf>
    <xf numFmtId="0" fontId="20" fillId="2" borderId="0" xfId="0" applyFont="1" applyFill="1"/>
    <xf numFmtId="0" fontId="17" fillId="2" borderId="0" xfId="0" applyFont="1" applyFill="1" applyAlignment="1">
      <alignment horizontal="center"/>
    </xf>
    <xf numFmtId="0" fontId="17" fillId="2" borderId="0" xfId="0" applyFont="1" applyFill="1" applyAlignment="1">
      <alignment horizontal="left" indent="1"/>
    </xf>
    <xf numFmtId="11" fontId="17" fillId="2" borderId="1" xfId="0" applyNumberFormat="1" applyFont="1" applyFill="1" applyBorder="1" applyAlignment="1">
      <alignment horizontal="center"/>
    </xf>
    <xf numFmtId="167" fontId="20" fillId="2" borderId="0" xfId="1" applyNumberFormat="1" applyFont="1" applyFill="1" applyBorder="1"/>
    <xf numFmtId="0" fontId="17" fillId="2" borderId="2" xfId="0" applyFont="1" applyFill="1" applyBorder="1"/>
    <xf numFmtId="0" fontId="17" fillId="2" borderId="2" xfId="0" applyFont="1" applyFill="1" applyBorder="1" applyAlignment="1">
      <alignment horizontal="center"/>
    </xf>
    <xf numFmtId="165" fontId="17" fillId="2" borderId="2" xfId="0" applyNumberFormat="1" applyFont="1" applyFill="1" applyBorder="1" applyAlignment="1">
      <alignment horizontal="center"/>
    </xf>
    <xf numFmtId="0" fontId="17" fillId="3" borderId="1" xfId="0" applyFont="1" applyFill="1" applyBorder="1" applyAlignment="1">
      <alignment horizontal="left" indent="1"/>
    </xf>
    <xf numFmtId="169" fontId="17" fillId="2" borderId="0" xfId="1" applyNumberFormat="1" applyFont="1" applyFill="1"/>
    <xf numFmtId="168" fontId="17" fillId="2" borderId="0" xfId="0" applyNumberFormat="1" applyFont="1" applyFill="1"/>
    <xf numFmtId="0" fontId="17" fillId="2" borderId="9" xfId="0" applyFont="1" applyFill="1" applyBorder="1"/>
    <xf numFmtId="0" fontId="22" fillId="5" borderId="1" xfId="0" applyFont="1" applyFill="1" applyBorder="1" applyAlignment="1">
      <alignment horizontal="center" wrapText="1"/>
    </xf>
    <xf numFmtId="0" fontId="22" fillId="5" borderId="1" xfId="0" applyFont="1" applyFill="1" applyBorder="1" applyAlignment="1">
      <alignment horizontal="center"/>
    </xf>
    <xf numFmtId="0" fontId="17" fillId="2" borderId="11" xfId="0" applyFont="1" applyFill="1" applyBorder="1"/>
    <xf numFmtId="0" fontId="17" fillId="2" borderId="10" xfId="0" applyFont="1" applyFill="1" applyBorder="1"/>
    <xf numFmtId="0" fontId="17" fillId="2" borderId="0" xfId="0" applyFont="1" applyFill="1" applyAlignment="1">
      <alignment horizontal="right"/>
    </xf>
    <xf numFmtId="0" fontId="7" fillId="8" borderId="1" xfId="0" applyFont="1" applyFill="1" applyBorder="1" applyAlignment="1">
      <alignment horizontal="center"/>
    </xf>
    <xf numFmtId="0" fontId="25" fillId="5" borderId="3" xfId="0" applyFont="1" applyFill="1" applyBorder="1" applyAlignment="1">
      <alignment vertical="center" wrapText="1"/>
    </xf>
    <xf numFmtId="0" fontId="26" fillId="2" borderId="0" xfId="2" applyFont="1" applyFill="1"/>
    <xf numFmtId="0" fontId="17" fillId="6" borderId="1" xfId="0" applyFont="1" applyFill="1" applyBorder="1" applyAlignment="1">
      <alignment horizontal="center"/>
    </xf>
    <xf numFmtId="2" fontId="17" fillId="6" borderId="1" xfId="0" applyNumberFormat="1" applyFont="1" applyFill="1" applyBorder="1" applyAlignment="1">
      <alignment horizontal="center"/>
    </xf>
    <xf numFmtId="165" fontId="17" fillId="2" borderId="1" xfId="0" applyNumberFormat="1" applyFont="1" applyFill="1" applyBorder="1" applyAlignment="1">
      <alignment horizontal="right"/>
    </xf>
    <xf numFmtId="0" fontId="33" fillId="2" borderId="0" xfId="0" applyFont="1" applyFill="1"/>
    <xf numFmtId="0" fontId="18" fillId="2" borderId="0" xfId="0" applyFont="1" applyFill="1"/>
    <xf numFmtId="0" fontId="7" fillId="9" borderId="1" xfId="0" applyFont="1" applyFill="1" applyBorder="1" applyAlignment="1">
      <alignment horizontal="center"/>
    </xf>
    <xf numFmtId="0" fontId="13" fillId="10" borderId="1" xfId="0" applyFont="1" applyFill="1" applyBorder="1" applyAlignment="1">
      <alignment horizontal="right" indent="1"/>
    </xf>
    <xf numFmtId="0" fontId="9" fillId="10" borderId="1" xfId="0" applyFont="1" applyFill="1" applyBorder="1"/>
    <xf numFmtId="0" fontId="17" fillId="10" borderId="1" xfId="0" applyFont="1" applyFill="1" applyBorder="1"/>
    <xf numFmtId="0" fontId="28" fillId="8" borderId="4" xfId="0" applyFont="1" applyFill="1" applyBorder="1" applyAlignment="1">
      <alignment horizontal="center" vertical="center" wrapText="1"/>
    </xf>
    <xf numFmtId="0" fontId="28" fillId="8" borderId="1"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30" fillId="8" borderId="1" xfId="2" applyFont="1" applyFill="1" applyBorder="1" applyAlignment="1">
      <alignment horizontal="center" vertical="center" wrapText="1"/>
    </xf>
    <xf numFmtId="0" fontId="17" fillId="2" borderId="5" xfId="0" applyFont="1" applyFill="1" applyBorder="1" applyAlignment="1">
      <alignment vertical="center" wrapText="1"/>
    </xf>
    <xf numFmtId="0" fontId="32" fillId="2" borderId="2" xfId="2" applyFont="1" applyFill="1" applyBorder="1" applyAlignment="1">
      <alignment vertical="center" wrapText="1"/>
    </xf>
    <xf numFmtId="0" fontId="17" fillId="10" borderId="5" xfId="0" applyFont="1" applyFill="1" applyBorder="1" applyAlignment="1">
      <alignment vertical="center" wrapText="1"/>
    </xf>
    <xf numFmtId="0" fontId="17" fillId="10" borderId="12" xfId="0" applyFont="1" applyFill="1" applyBorder="1" applyAlignment="1">
      <alignment vertical="center" wrapText="1"/>
    </xf>
    <xf numFmtId="0" fontId="27" fillId="10" borderId="12" xfId="0" applyFont="1" applyFill="1" applyBorder="1" applyAlignment="1">
      <alignment vertical="center" wrapText="1"/>
    </xf>
    <xf numFmtId="0" fontId="17" fillId="2" borderId="12" xfId="0" applyFont="1" applyFill="1" applyBorder="1" applyAlignment="1">
      <alignment vertical="center" wrapText="1"/>
    </xf>
    <xf numFmtId="0" fontId="27" fillId="2" borderId="12" xfId="0" applyFont="1" applyFill="1" applyBorder="1" applyAlignment="1">
      <alignment vertical="center" wrapText="1"/>
    </xf>
    <xf numFmtId="0" fontId="27" fillId="2" borderId="2" xfId="0" applyFont="1" applyFill="1" applyBorder="1" applyAlignment="1">
      <alignment vertical="center" wrapText="1"/>
    </xf>
    <xf numFmtId="0" fontId="17" fillId="10" borderId="2" xfId="0" applyFont="1" applyFill="1" applyBorder="1" applyAlignment="1">
      <alignment vertical="center" wrapText="1"/>
    </xf>
    <xf numFmtId="0" fontId="17" fillId="2" borderId="2" xfId="0" applyFont="1" applyFill="1" applyBorder="1" applyAlignment="1">
      <alignment vertical="center" wrapText="1"/>
    </xf>
    <xf numFmtId="0" fontId="17" fillId="11" borderId="1" xfId="0" applyFont="1" applyFill="1" applyBorder="1"/>
    <xf numFmtId="0" fontId="17" fillId="11" borderId="2" xfId="0" applyFont="1" applyFill="1" applyBorder="1"/>
    <xf numFmtId="0" fontId="17" fillId="11" borderId="2" xfId="0" applyFont="1" applyFill="1" applyBorder="1" applyAlignment="1">
      <alignment horizontal="center"/>
    </xf>
    <xf numFmtId="0" fontId="17" fillId="11" borderId="1" xfId="0" applyFont="1" applyFill="1" applyBorder="1" applyAlignment="1">
      <alignment horizontal="center"/>
    </xf>
    <xf numFmtId="11" fontId="17" fillId="10" borderId="1" xfId="0" applyNumberFormat="1" applyFont="1" applyFill="1" applyBorder="1" applyAlignment="1">
      <alignment horizontal="center"/>
    </xf>
    <xf numFmtId="0" fontId="17" fillId="10" borderId="1" xfId="0" applyFont="1" applyFill="1" applyBorder="1" applyAlignment="1">
      <alignment horizontal="center"/>
    </xf>
    <xf numFmtId="165" fontId="17" fillId="10" borderId="1" xfId="0" applyNumberFormat="1" applyFont="1" applyFill="1" applyBorder="1" applyAlignment="1">
      <alignment horizontal="center"/>
    </xf>
    <xf numFmtId="0" fontId="41" fillId="2" borderId="0" xfId="2" applyFont="1" applyFill="1"/>
    <xf numFmtId="0" fontId="42" fillId="2" borderId="0" xfId="0" applyFont="1" applyFill="1"/>
    <xf numFmtId="0" fontId="21" fillId="5" borderId="23" xfId="0" applyFont="1" applyFill="1" applyBorder="1" applyAlignment="1">
      <alignment horizontal="center" vertical="center"/>
    </xf>
    <xf numFmtId="0" fontId="21" fillId="5" borderId="21" xfId="0" applyFont="1" applyFill="1" applyBorder="1" applyAlignment="1">
      <alignment horizontal="center" vertical="center" wrapText="1"/>
    </xf>
    <xf numFmtId="0" fontId="21" fillId="5" borderId="22" xfId="0" applyFont="1" applyFill="1" applyBorder="1" applyAlignment="1">
      <alignment horizontal="center" vertical="center" wrapText="1"/>
    </xf>
    <xf numFmtId="0" fontId="44" fillId="8" borderId="4" xfId="0" applyFont="1" applyFill="1" applyBorder="1" applyAlignment="1">
      <alignment horizontal="center" vertical="center" wrapText="1"/>
    </xf>
    <xf numFmtId="0" fontId="44" fillId="8" borderId="1" xfId="0" applyFont="1" applyFill="1" applyBorder="1" applyAlignment="1">
      <alignment horizontal="center" vertical="center" wrapText="1"/>
    </xf>
    <xf numFmtId="164" fontId="17" fillId="2" borderId="0" xfId="1" applyFont="1" applyFill="1"/>
    <xf numFmtId="164" fontId="17" fillId="2" borderId="0" xfId="0" applyNumberFormat="1" applyFont="1" applyFill="1"/>
    <xf numFmtId="0" fontId="21" fillId="5" borderId="24" xfId="0" applyFont="1" applyFill="1" applyBorder="1" applyAlignment="1">
      <alignment horizontal="center" vertical="center"/>
    </xf>
    <xf numFmtId="0" fontId="21" fillId="5" borderId="21" xfId="0" applyFont="1" applyFill="1" applyBorder="1" applyAlignment="1">
      <alignment horizontal="center" vertical="center"/>
    </xf>
    <xf numFmtId="0" fontId="21" fillId="5" borderId="22" xfId="0" applyFont="1" applyFill="1" applyBorder="1" applyAlignment="1">
      <alignment horizontal="center" vertical="center"/>
    </xf>
    <xf numFmtId="0" fontId="21" fillId="5" borderId="25" xfId="0" applyFont="1" applyFill="1" applyBorder="1" applyAlignment="1">
      <alignment horizontal="center" vertical="center"/>
    </xf>
    <xf numFmtId="170" fontId="47" fillId="8" borderId="1" xfId="3" applyNumberFormat="1" applyFont="1" applyFill="1" applyBorder="1" applyAlignment="1" applyProtection="1">
      <alignment horizontal="center"/>
    </xf>
    <xf numFmtId="0" fontId="0" fillId="2" borderId="0" xfId="0" applyFill="1" applyProtection="1">
      <protection locked="0"/>
    </xf>
    <xf numFmtId="0" fontId="9" fillId="2" borderId="1" xfId="0" applyFont="1" applyFill="1" applyBorder="1" applyProtection="1">
      <protection locked="0"/>
    </xf>
    <xf numFmtId="2" fontId="9" fillId="9" borderId="1" xfId="3" applyNumberFormat="1" applyFont="1" applyFill="1" applyBorder="1" applyAlignment="1" applyProtection="1">
      <alignment horizontal="center"/>
      <protection locked="0"/>
    </xf>
    <xf numFmtId="0" fontId="38" fillId="2" borderId="0" xfId="0" applyFont="1" applyFill="1" applyAlignment="1" applyProtection="1">
      <alignment horizontal="left" indent="1"/>
      <protection locked="0"/>
    </xf>
    <xf numFmtId="1" fontId="9" fillId="6" borderId="1" xfId="0" applyNumberFormat="1" applyFont="1" applyFill="1" applyBorder="1" applyAlignment="1" applyProtection="1">
      <alignment horizontal="center"/>
      <protection locked="0"/>
    </xf>
    <xf numFmtId="0" fontId="11" fillId="2" borderId="0" xfId="0" applyFont="1" applyFill="1" applyAlignment="1" applyProtection="1">
      <alignment horizontal="left" indent="1"/>
      <protection locked="0"/>
    </xf>
    <xf numFmtId="0" fontId="9" fillId="2" borderId="0" xfId="0" applyFont="1" applyFill="1" applyProtection="1">
      <protection locked="0"/>
    </xf>
    <xf numFmtId="0" fontId="9" fillId="2" borderId="0" xfId="0" applyFont="1" applyFill="1" applyAlignment="1" applyProtection="1">
      <alignment horizontal="left" indent="1"/>
      <protection locked="0"/>
    </xf>
    <xf numFmtId="0" fontId="9" fillId="6" borderId="1" xfId="0" applyFont="1" applyFill="1" applyBorder="1" applyAlignment="1" applyProtection="1">
      <alignment horizontal="center"/>
      <protection locked="0"/>
    </xf>
    <xf numFmtId="0" fontId="43" fillId="0" borderId="0" xfId="0" applyFont="1" applyProtection="1">
      <protection locked="0"/>
    </xf>
    <xf numFmtId="0" fontId="10" fillId="2" borderId="1" xfId="0" applyFont="1" applyFill="1" applyBorder="1" applyProtection="1">
      <protection locked="0"/>
    </xf>
    <xf numFmtId="9" fontId="9" fillId="6" borderId="1" xfId="3" applyFont="1" applyFill="1" applyBorder="1" applyAlignment="1" applyProtection="1">
      <alignment horizontal="center"/>
      <protection locked="0"/>
    </xf>
    <xf numFmtId="0" fontId="15" fillId="5" borderId="17" xfId="0" applyFont="1" applyFill="1" applyBorder="1" applyAlignment="1" applyProtection="1">
      <alignment horizontal="center" vertical="center" wrapText="1"/>
      <protection locked="0"/>
    </xf>
    <xf numFmtId="0" fontId="15" fillId="5" borderId="18" xfId="0" applyFont="1" applyFill="1" applyBorder="1" applyAlignment="1" applyProtection="1">
      <alignment horizontal="center" vertical="center" wrapText="1"/>
      <protection locked="0"/>
    </xf>
    <xf numFmtId="0" fontId="15" fillId="5" borderId="19"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protection locked="0"/>
    </xf>
    <xf numFmtId="0" fontId="12" fillId="2" borderId="2" xfId="0" applyFont="1" applyFill="1" applyBorder="1" applyAlignment="1" applyProtection="1">
      <alignment horizontal="left"/>
      <protection locked="0"/>
    </xf>
    <xf numFmtId="0" fontId="12" fillId="2" borderId="2" xfId="0" applyFont="1" applyFill="1" applyBorder="1" applyProtection="1">
      <protection locked="0"/>
    </xf>
    <xf numFmtId="0" fontId="12" fillId="6" borderId="2" xfId="0" applyFont="1" applyFill="1" applyBorder="1" applyAlignment="1" applyProtection="1">
      <alignment horizontal="center"/>
      <protection locked="0"/>
    </xf>
    <xf numFmtId="2" fontId="12" fillId="9" borderId="8" xfId="0" applyNumberFormat="1" applyFont="1" applyFill="1" applyBorder="1" applyAlignment="1" applyProtection="1">
      <alignment horizontal="center"/>
      <protection locked="0"/>
    </xf>
    <xf numFmtId="0" fontId="12" fillId="9" borderId="2" xfId="0" applyFont="1" applyFill="1" applyBorder="1" applyAlignment="1" applyProtection="1">
      <alignment horizontal="center"/>
      <protection locked="0"/>
    </xf>
    <xf numFmtId="0" fontId="12" fillId="2" borderId="1" xfId="0" applyFont="1" applyFill="1" applyBorder="1" applyAlignment="1" applyProtection="1">
      <alignment horizontal="center"/>
      <protection locked="0"/>
    </xf>
    <xf numFmtId="0" fontId="12" fillId="2" borderId="1" xfId="0" applyFont="1" applyFill="1" applyBorder="1" applyAlignment="1" applyProtection="1">
      <alignment horizontal="left"/>
      <protection locked="0"/>
    </xf>
    <xf numFmtId="0" fontId="12" fillId="2" borderId="1" xfId="0" applyFont="1" applyFill="1" applyBorder="1" applyProtection="1">
      <protection locked="0"/>
    </xf>
    <xf numFmtId="0" fontId="12" fillId="6" borderId="1" xfId="0" applyFont="1" applyFill="1" applyBorder="1" applyAlignment="1" applyProtection="1">
      <alignment horizontal="center"/>
      <protection locked="0"/>
    </xf>
    <xf numFmtId="0" fontId="12" fillId="9" borderId="1" xfId="0" applyFont="1" applyFill="1" applyBorder="1" applyAlignment="1" applyProtection="1">
      <alignment horizontal="center"/>
      <protection locked="0"/>
    </xf>
    <xf numFmtId="0" fontId="12" fillId="0" borderId="1" xfId="0" applyFont="1" applyBorder="1" applyProtection="1">
      <protection locked="0"/>
    </xf>
    <xf numFmtId="0" fontId="12" fillId="6" borderId="4" xfId="0" applyFont="1" applyFill="1" applyBorder="1" applyAlignment="1" applyProtection="1">
      <alignment horizontal="center"/>
      <protection locked="0"/>
    </xf>
    <xf numFmtId="1" fontId="12" fillId="9" borderId="4" xfId="0" applyNumberFormat="1" applyFont="1" applyFill="1" applyBorder="1" applyAlignment="1" applyProtection="1">
      <alignment horizontal="center"/>
      <protection locked="0"/>
    </xf>
    <xf numFmtId="0" fontId="12" fillId="9" borderId="4" xfId="0" applyFont="1" applyFill="1" applyBorder="1" applyAlignment="1" applyProtection="1">
      <alignment horizontal="center"/>
      <protection locked="0"/>
    </xf>
    <xf numFmtId="0" fontId="12" fillId="0" borderId="2" xfId="0" applyFont="1" applyBorder="1" applyProtection="1">
      <protection locked="0"/>
    </xf>
    <xf numFmtId="0" fontId="12" fillId="0" borderId="1" xfId="0" applyFont="1" applyBorder="1" applyAlignment="1" applyProtection="1">
      <alignment horizontal="left"/>
      <protection locked="0"/>
    </xf>
    <xf numFmtId="0" fontId="12" fillId="7" borderId="2" xfId="0" applyFont="1" applyFill="1" applyBorder="1" applyAlignment="1" applyProtection="1">
      <alignment horizontal="center"/>
      <protection locked="0"/>
    </xf>
    <xf numFmtId="0" fontId="12" fillId="7" borderId="1" xfId="0" applyFont="1" applyFill="1" applyBorder="1" applyAlignment="1" applyProtection="1">
      <alignment horizontal="center"/>
      <protection locked="0"/>
    </xf>
    <xf numFmtId="0" fontId="12" fillId="6" borderId="2" xfId="0" applyFont="1" applyFill="1" applyBorder="1" applyProtection="1">
      <protection locked="0"/>
    </xf>
    <xf numFmtId="0" fontId="12" fillId="2" borderId="5" xfId="0" applyFont="1" applyFill="1" applyBorder="1" applyAlignment="1" applyProtection="1">
      <alignment horizontal="left"/>
      <protection locked="0"/>
    </xf>
    <xf numFmtId="0" fontId="12" fillId="6" borderId="5" xfId="0" applyFont="1" applyFill="1" applyBorder="1" applyProtection="1">
      <protection locked="0"/>
    </xf>
    <xf numFmtId="0" fontId="12" fillId="6" borderId="5" xfId="0" applyFont="1" applyFill="1" applyBorder="1" applyAlignment="1" applyProtection="1">
      <alignment horizontal="center"/>
      <protection locked="0"/>
    </xf>
    <xf numFmtId="0" fontId="12" fillId="6" borderId="1" xfId="0" applyFont="1" applyFill="1" applyBorder="1" applyProtection="1">
      <protection locked="0"/>
    </xf>
    <xf numFmtId="0" fontId="40" fillId="2" borderId="3" xfId="0" applyFont="1" applyFill="1" applyBorder="1" applyProtection="1">
      <protection locked="0"/>
    </xf>
    <xf numFmtId="0" fontId="12" fillId="2" borderId="6" xfId="0" applyFont="1" applyFill="1" applyBorder="1" applyProtection="1">
      <protection locked="0"/>
    </xf>
    <xf numFmtId="0" fontId="12" fillId="2" borderId="4" xfId="0" applyFont="1" applyFill="1" applyBorder="1" applyProtection="1">
      <protection locked="0"/>
    </xf>
    <xf numFmtId="0" fontId="9" fillId="9" borderId="1" xfId="0" applyFont="1" applyFill="1" applyBorder="1" applyAlignment="1" applyProtection="1">
      <alignment horizontal="center"/>
      <protection locked="0"/>
    </xf>
    <xf numFmtId="0" fontId="24" fillId="2" borderId="1" xfId="0" applyFont="1" applyFill="1" applyBorder="1" applyProtection="1">
      <protection locked="0"/>
    </xf>
    <xf numFmtId="0" fontId="2" fillId="2" borderId="0" xfId="0" applyFont="1" applyFill="1" applyAlignment="1" applyProtection="1">
      <alignment horizontal="left" indent="1"/>
      <protection locked="0"/>
    </xf>
    <xf numFmtId="0" fontId="7" fillId="4" borderId="1" xfId="0" applyFont="1" applyFill="1" applyBorder="1" applyAlignment="1" applyProtection="1">
      <alignment horizontal="center"/>
      <protection locked="0"/>
    </xf>
    <xf numFmtId="0" fontId="7" fillId="6" borderId="1" xfId="0" applyFont="1" applyFill="1" applyBorder="1" applyAlignment="1" applyProtection="1">
      <alignment horizontal="center"/>
      <protection locked="0"/>
    </xf>
    <xf numFmtId="0" fontId="7" fillId="8" borderId="1" xfId="0" applyFont="1" applyFill="1" applyBorder="1" applyAlignment="1" applyProtection="1">
      <alignment horizontal="center"/>
      <protection locked="0"/>
    </xf>
    <xf numFmtId="0" fontId="0" fillId="2" borderId="1" xfId="0" applyFill="1" applyBorder="1" applyProtection="1">
      <protection locked="0"/>
    </xf>
    <xf numFmtId="0" fontId="0" fillId="0" borderId="1" xfId="0" applyBorder="1" applyAlignment="1" applyProtection="1">
      <alignment horizontal="center"/>
      <protection locked="0"/>
    </xf>
    <xf numFmtId="0" fontId="0" fillId="5" borderId="3" xfId="0" applyFill="1" applyBorder="1" applyProtection="1">
      <protection locked="0"/>
    </xf>
    <xf numFmtId="0" fontId="0" fillId="5" borderId="6" xfId="0" applyFill="1" applyBorder="1" applyProtection="1">
      <protection locked="0"/>
    </xf>
    <xf numFmtId="0" fontId="0" fillId="5" borderId="4" xfId="0" applyFill="1" applyBorder="1" applyProtection="1">
      <protection locked="0"/>
    </xf>
    <xf numFmtId="0" fontId="45" fillId="8" borderId="2" xfId="0" applyFont="1" applyFill="1" applyBorder="1" applyAlignment="1" applyProtection="1">
      <alignment horizontal="center"/>
      <protection locked="0"/>
    </xf>
    <xf numFmtId="0" fontId="45" fillId="8" borderId="2" xfId="0" applyFont="1" applyFill="1" applyBorder="1" applyAlignment="1" applyProtection="1">
      <alignment horizontal="left" indent="1"/>
      <protection locked="0"/>
    </xf>
    <xf numFmtId="0" fontId="46" fillId="8" borderId="2" xfId="2" applyFont="1" applyFill="1" applyBorder="1" applyProtection="1">
      <protection locked="0"/>
    </xf>
    <xf numFmtId="0" fontId="45" fillId="8" borderId="2" xfId="0" applyFont="1" applyFill="1" applyBorder="1" applyProtection="1">
      <protection locked="0"/>
    </xf>
    <xf numFmtId="0" fontId="16" fillId="2" borderId="1" xfId="0" applyFont="1" applyFill="1" applyBorder="1" applyAlignment="1" applyProtection="1">
      <alignment horizontal="left" indent="1"/>
      <protection locked="0"/>
    </xf>
    <xf numFmtId="0" fontId="17" fillId="2" borderId="1" xfId="0" applyFont="1" applyFill="1" applyBorder="1" applyProtection="1">
      <protection locked="0"/>
    </xf>
    <xf numFmtId="0" fontId="18" fillId="2" borderId="1" xfId="0" applyFont="1" applyFill="1" applyBorder="1" applyProtection="1">
      <protection locked="0"/>
    </xf>
    <xf numFmtId="0" fontId="12" fillId="10" borderId="1" xfId="0" applyFont="1" applyFill="1" applyBorder="1" applyAlignment="1" applyProtection="1">
      <alignment horizontal="left"/>
      <protection locked="0"/>
    </xf>
    <xf numFmtId="0" fontId="16" fillId="10" borderId="1" xfId="0" applyFont="1" applyFill="1" applyBorder="1" applyAlignment="1" applyProtection="1">
      <alignment horizontal="left" indent="1"/>
      <protection locked="0"/>
    </xf>
    <xf numFmtId="0" fontId="17" fillId="10" borderId="1" xfId="0" applyFont="1" applyFill="1" applyBorder="1" applyProtection="1">
      <protection locked="0"/>
    </xf>
    <xf numFmtId="0" fontId="17" fillId="2" borderId="0" xfId="0" applyFont="1" applyFill="1" applyProtection="1">
      <protection locked="0"/>
    </xf>
    <xf numFmtId="0" fontId="48" fillId="2" borderId="1" xfId="2" applyFont="1" applyFill="1" applyBorder="1" applyProtection="1">
      <protection locked="0"/>
    </xf>
    <xf numFmtId="0" fontId="17" fillId="0" borderId="1" xfId="0" applyFont="1" applyBorder="1" applyProtection="1">
      <protection locked="0"/>
    </xf>
    <xf numFmtId="0" fontId="12" fillId="10" borderId="1" xfId="0" applyFont="1" applyFill="1" applyBorder="1" applyProtection="1">
      <protection locked="0"/>
    </xf>
    <xf numFmtId="0" fontId="19" fillId="2" borderId="1" xfId="2" applyFont="1" applyFill="1" applyBorder="1" applyProtection="1">
      <protection locked="0"/>
    </xf>
    <xf numFmtId="0" fontId="19" fillId="10" borderId="1" xfId="2" applyFont="1" applyFill="1" applyBorder="1" applyProtection="1">
      <protection locked="0"/>
    </xf>
    <xf numFmtId="166" fontId="12" fillId="2" borderId="1" xfId="0" applyNumberFormat="1" applyFont="1" applyFill="1" applyBorder="1" applyAlignment="1">
      <alignment horizontal="center"/>
    </xf>
    <xf numFmtId="166" fontId="12" fillId="10" borderId="1" xfId="0" applyNumberFormat="1" applyFont="1" applyFill="1" applyBorder="1" applyAlignment="1">
      <alignment horizontal="center"/>
    </xf>
    <xf numFmtId="166" fontId="12" fillId="2" borderId="1" xfId="1" applyNumberFormat="1" applyFont="1" applyFill="1" applyBorder="1" applyAlignment="1" applyProtection="1">
      <alignment horizontal="center"/>
    </xf>
    <xf numFmtId="166" fontId="12" fillId="10" borderId="1" xfId="1" applyNumberFormat="1" applyFont="1" applyFill="1" applyBorder="1" applyAlignment="1" applyProtection="1">
      <alignment horizontal="center"/>
    </xf>
    <xf numFmtId="2" fontId="47" fillId="8" borderId="1" xfId="0" applyNumberFormat="1" applyFont="1" applyFill="1" applyBorder="1" applyAlignment="1">
      <alignment horizontal="center"/>
    </xf>
    <xf numFmtId="0" fontId="23" fillId="5" borderId="3"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12" fillId="10" borderId="15" xfId="0" applyFont="1" applyFill="1" applyBorder="1" applyAlignment="1">
      <alignment vertical="center" wrapText="1"/>
    </xf>
    <xf numFmtId="0" fontId="12" fillId="10" borderId="16" xfId="0" applyFont="1" applyFill="1" applyBorder="1" applyAlignment="1">
      <alignment vertical="center" wrapText="1"/>
    </xf>
    <xf numFmtId="0" fontId="12" fillId="2" borderId="15" xfId="0" applyFont="1" applyFill="1" applyBorder="1" applyAlignment="1">
      <alignment vertical="center" wrapText="1"/>
    </xf>
    <xf numFmtId="0" fontId="12" fillId="2" borderId="16" xfId="0" applyFont="1" applyFill="1" applyBorder="1" applyAlignment="1">
      <alignment vertical="center" wrapText="1"/>
    </xf>
    <xf numFmtId="0" fontId="12" fillId="2" borderId="8" xfId="0" applyFont="1" applyFill="1" applyBorder="1" applyAlignment="1">
      <alignment vertical="center" wrapText="1"/>
    </xf>
    <xf numFmtId="0" fontId="12" fillId="2" borderId="5" xfId="0" applyFont="1" applyFill="1" applyBorder="1" applyAlignment="1">
      <alignment vertical="center" wrapText="1"/>
    </xf>
    <xf numFmtId="0" fontId="12" fillId="2" borderId="2" xfId="0" applyFont="1" applyFill="1" applyBorder="1" applyAlignment="1">
      <alignment vertical="center" wrapText="1"/>
    </xf>
    <xf numFmtId="0" fontId="12" fillId="2" borderId="13" xfId="0" applyFont="1" applyFill="1" applyBorder="1" applyAlignment="1">
      <alignment vertical="center" wrapText="1"/>
    </xf>
    <xf numFmtId="0" fontId="12" fillId="2" borderId="14" xfId="0" applyFont="1" applyFill="1" applyBorder="1" applyAlignment="1">
      <alignment vertical="center" wrapText="1"/>
    </xf>
    <xf numFmtId="0" fontId="12" fillId="10" borderId="13" xfId="0" applyFont="1" applyFill="1" applyBorder="1" applyAlignment="1">
      <alignment vertical="center" wrapText="1"/>
    </xf>
    <xf numFmtId="0" fontId="12" fillId="10" borderId="0" xfId="0" applyFont="1" applyFill="1" applyAlignment="1">
      <alignment vertical="center" wrapText="1"/>
    </xf>
    <xf numFmtId="0" fontId="12" fillId="2" borderId="0" xfId="0" applyFont="1" applyFill="1" applyAlignment="1">
      <alignment vertical="center" wrapText="1"/>
    </xf>
    <xf numFmtId="0" fontId="12" fillId="10" borderId="5" xfId="0" applyFont="1" applyFill="1" applyBorder="1" applyAlignment="1">
      <alignment horizontal="left" vertical="center" wrapText="1"/>
    </xf>
    <xf numFmtId="0" fontId="12" fillId="10" borderId="12"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10" borderId="5" xfId="0" applyFont="1" applyFill="1" applyBorder="1" applyAlignment="1">
      <alignment vertical="center" wrapText="1"/>
    </xf>
    <xf numFmtId="0" fontId="12" fillId="10" borderId="12" xfId="0" applyFont="1" applyFill="1" applyBorder="1" applyAlignment="1">
      <alignment vertical="center" wrapText="1"/>
    </xf>
    <xf numFmtId="0" fontId="12" fillId="2" borderId="12" xfId="0" applyFont="1" applyFill="1" applyBorder="1" applyAlignment="1">
      <alignment vertical="center" wrapText="1"/>
    </xf>
    <xf numFmtId="0" fontId="12" fillId="10" borderId="14" xfId="0" applyFont="1" applyFill="1" applyBorder="1" applyAlignment="1">
      <alignment vertical="center" wrapText="1"/>
    </xf>
    <xf numFmtId="0" fontId="31" fillId="2" borderId="13" xfId="2" applyFont="1" applyFill="1" applyBorder="1" applyAlignment="1">
      <alignment vertical="center" wrapText="1"/>
    </xf>
    <xf numFmtId="0" fontId="31" fillId="2" borderId="0" xfId="2" applyFont="1" applyFill="1" applyBorder="1" applyAlignment="1">
      <alignment vertical="center" wrapText="1"/>
    </xf>
    <xf numFmtId="0" fontId="31" fillId="2" borderId="14" xfId="2" applyFont="1" applyFill="1" applyBorder="1" applyAlignment="1">
      <alignment vertical="center" wrapText="1"/>
    </xf>
    <xf numFmtId="0" fontId="12" fillId="10" borderId="2" xfId="0" applyFont="1" applyFill="1" applyBorder="1" applyAlignment="1">
      <alignment vertical="center" wrapText="1"/>
    </xf>
    <xf numFmtId="0" fontId="17" fillId="2" borderId="5" xfId="0" applyFont="1" applyFill="1" applyBorder="1" applyAlignment="1">
      <alignment vertical="center" wrapText="1"/>
    </xf>
    <xf numFmtId="0" fontId="17" fillId="2" borderId="12" xfId="0" applyFont="1" applyFill="1" applyBorder="1" applyAlignment="1">
      <alignment vertical="center" wrapText="1"/>
    </xf>
    <xf numFmtId="0" fontId="17" fillId="2" borderId="2" xfId="0" applyFont="1" applyFill="1" applyBorder="1" applyAlignment="1">
      <alignment vertical="center" wrapText="1"/>
    </xf>
    <xf numFmtId="0" fontId="26" fillId="2" borderId="15" xfId="2" applyFont="1" applyFill="1" applyBorder="1" applyAlignment="1">
      <alignment vertical="center" wrapText="1"/>
    </xf>
    <xf numFmtId="0" fontId="26" fillId="2" borderId="16" xfId="2" applyFont="1" applyFill="1" applyBorder="1" applyAlignment="1">
      <alignment vertical="center" wrapText="1"/>
    </xf>
    <xf numFmtId="0" fontId="26" fillId="2" borderId="8" xfId="2" applyFont="1" applyFill="1" applyBorder="1" applyAlignment="1">
      <alignment vertical="center" wrapText="1"/>
    </xf>
    <xf numFmtId="0" fontId="12" fillId="10" borderId="8" xfId="0" applyFont="1" applyFill="1" applyBorder="1" applyAlignment="1">
      <alignment vertical="center" wrapText="1"/>
    </xf>
    <xf numFmtId="0" fontId="12" fillId="10" borderId="2" xfId="0" applyFont="1" applyFill="1" applyBorder="1" applyAlignment="1">
      <alignment horizontal="left" vertical="center" wrapText="1"/>
    </xf>
    <xf numFmtId="0" fontId="0" fillId="2" borderId="1" xfId="0" applyFill="1" applyBorder="1" applyAlignment="1" applyProtection="1">
      <alignment horizontal="center"/>
      <protection locked="0"/>
    </xf>
    <xf numFmtId="0" fontId="23" fillId="5" borderId="3" xfId="0" applyFont="1" applyFill="1" applyBorder="1" applyAlignment="1" applyProtection="1">
      <alignment horizontal="center" vertical="center" wrapText="1"/>
      <protection locked="0"/>
    </xf>
    <xf numFmtId="0" fontId="23" fillId="5" borderId="4" xfId="0" applyFont="1" applyFill="1" applyBorder="1" applyAlignment="1" applyProtection="1">
      <alignment horizontal="center" vertical="center" wrapText="1"/>
      <protection locked="0"/>
    </xf>
    <xf numFmtId="0" fontId="15" fillId="5" borderId="20" xfId="0" applyFont="1" applyFill="1" applyBorder="1" applyAlignment="1" applyProtection="1">
      <alignment horizontal="center" vertical="center" wrapText="1"/>
      <protection locked="0"/>
    </xf>
    <xf numFmtId="0" fontId="15" fillId="5" borderId="4" xfId="0" applyFont="1" applyFill="1" applyBorder="1" applyAlignment="1" applyProtection="1">
      <alignment horizontal="center" vertical="center" wrapText="1"/>
      <protection locked="0"/>
    </xf>
    <xf numFmtId="0" fontId="0" fillId="2" borderId="2" xfId="0" applyFill="1" applyBorder="1" applyAlignment="1" applyProtection="1">
      <alignment horizontal="center"/>
      <protection locked="0"/>
    </xf>
    <xf numFmtId="0" fontId="15" fillId="5" borderId="3" xfId="0" applyFont="1" applyFill="1" applyBorder="1" applyAlignment="1" applyProtection="1">
      <alignment horizontal="center" vertical="center" wrapText="1"/>
      <protection locked="0"/>
    </xf>
    <xf numFmtId="0" fontId="17" fillId="11"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21" fillId="5" borderId="7" xfId="0" applyFont="1" applyFill="1" applyBorder="1" applyAlignment="1">
      <alignment horizontal="center" vertical="center" wrapText="1"/>
    </xf>
    <xf numFmtId="0" fontId="17" fillId="11" borderId="2" xfId="0" applyFont="1" applyFill="1" applyBorder="1" applyAlignment="1">
      <alignment horizontal="center" vertical="center"/>
    </xf>
    <xf numFmtId="0" fontId="17" fillId="11" borderId="1" xfId="0" applyFont="1" applyFill="1" applyBorder="1" applyAlignment="1">
      <alignment horizontal="center" vertical="center"/>
    </xf>
    <xf numFmtId="0" fontId="17" fillId="2" borderId="1" xfId="0" applyFont="1" applyFill="1" applyBorder="1" applyAlignment="1">
      <alignment horizontal="center" vertical="center" wrapText="1"/>
    </xf>
  </cellXfs>
  <cellStyles count="5">
    <cellStyle name="Comma" xfId="1" builtinId="3"/>
    <cellStyle name="Comma 2" xfId="4" xr:uid="{BE138709-7DA9-4061-8999-C40137346A4C}"/>
    <cellStyle name="Hyperlink" xfId="2" builtinId="8"/>
    <cellStyle name="Normal" xfId="0" builtinId="0"/>
    <cellStyle name="Percent" xfId="3" builtinId="5"/>
  </cellStyles>
  <dxfs count="0"/>
  <tableStyles count="0" defaultTableStyle="TableStyleMedium2" defaultPivotStyle="PivotStyleLight16"/>
  <colors>
    <mruColors>
      <color rgb="FF07AF97"/>
      <color rgb="FFF0F2F4"/>
      <color rgb="FFEEF0F2"/>
      <color rgb="FFEBEEF1"/>
      <color rgb="FFE9ECEF"/>
      <color rgb="FFE7EAED"/>
      <color rgb="FFE2E6EA"/>
      <color rgb="FFD7DCE1"/>
      <color rgb="FFE8E8E8"/>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363294</xdr:colOff>
      <xdr:row>1</xdr:row>
      <xdr:rowOff>97042</xdr:rowOff>
    </xdr:from>
    <xdr:to>
      <xdr:col>3</xdr:col>
      <xdr:colOff>16584</xdr:colOff>
      <xdr:row>10</xdr:row>
      <xdr:rowOff>123824</xdr:rowOff>
    </xdr:to>
    <xdr:sp macro="" textlink="">
      <xdr:nvSpPr>
        <xdr:cNvPr id="2" name="TextBox 1">
          <a:extLst>
            <a:ext uri="{FF2B5EF4-FFF2-40B4-BE49-F238E27FC236}">
              <a16:creationId xmlns:a16="http://schemas.microsoft.com/office/drawing/2014/main" id="{D9B61912-CC93-8C7B-1480-BC19B4C5D79D}"/>
            </a:ext>
          </a:extLst>
        </xdr:cNvPr>
        <xdr:cNvSpPr txBox="1"/>
      </xdr:nvSpPr>
      <xdr:spPr>
        <a:xfrm>
          <a:off x="363294" y="316117"/>
          <a:ext cx="9568815" cy="1827007"/>
        </a:xfrm>
        <a:prstGeom prst="rect">
          <a:avLst/>
        </a:prstGeom>
        <a:solidFill>
          <a:schemeClr val="lt1"/>
        </a:solidFill>
        <a:ln w="28575" cmpd="sng">
          <a:solidFill>
            <a:srgbClr val="07AF9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Nunito Sans" panose="00000500000000000000" pitchFamily="2" charset="0"/>
              <a:ea typeface="+mn-ea"/>
              <a:cs typeface="+mn-cs"/>
            </a:rPr>
            <a:t>This tool is for the purpose of guiding operators on what to expect for MiQ. It is to be treated as a screening tool for demonstrative purposes only. There may be applicable emissions sources not included in this tool. </a:t>
          </a:r>
          <a:r>
            <a:rPr lang="en-CA" sz="1100" b="1">
              <a:solidFill>
                <a:srgbClr val="07AF97"/>
              </a:solidFill>
              <a:effectLst/>
              <a:latin typeface="Nunito Sans" panose="00000500000000000000" pitchFamily="2" charset="0"/>
              <a:ea typeface="+mn-ea"/>
              <a:cs typeface="+mn-cs"/>
            </a:rPr>
            <a:t>All methane emissions must be quantified </a:t>
          </a:r>
          <a:r>
            <a:rPr lang="en-CA" sz="1100">
              <a:solidFill>
                <a:schemeClr val="dk1"/>
              </a:solidFill>
              <a:effectLst/>
              <a:latin typeface="Nunito Sans" panose="00000500000000000000" pitchFamily="2" charset="0"/>
              <a:ea typeface="+mn-ea"/>
              <a:cs typeface="+mn-cs"/>
            </a:rPr>
            <a:t>to a minimum level of facility specificity dependent on the source type, as outlined in the MiQ Standard for Methane Emissions Performance.  For North American operators, many currently used source type calculations meet the minimum requirements for MiQ and are utilized in this tool.  Note, all emissions and leaks identified through advanced monitoring requirements under MiQ must also be quantified and reconciled in an Operator’s emissions inventory.</a:t>
          </a:r>
        </a:p>
        <a:p>
          <a:endParaRPr lang="en-CA" sz="1100">
            <a:solidFill>
              <a:schemeClr val="dk1"/>
            </a:solidFill>
            <a:effectLst/>
            <a:latin typeface="Nunito Sans" panose="00000500000000000000" pitchFamily="2" charset="0"/>
            <a:ea typeface="+mn-ea"/>
            <a:cs typeface="+mn-cs"/>
          </a:endParaRPr>
        </a:p>
        <a:p>
          <a:r>
            <a:rPr lang="en-CA" sz="1100">
              <a:solidFill>
                <a:schemeClr val="dk1"/>
              </a:solidFill>
              <a:effectLst/>
              <a:latin typeface="Nunito Sans" panose="00000500000000000000" pitchFamily="2" charset="0"/>
              <a:ea typeface="+mn-ea"/>
              <a:cs typeface="+mn-cs"/>
            </a:rPr>
            <a:t>This tool is not suitable for use to determine preparedness to other regulatory requirements or voluntary initiatives. There are additional quantitative steps and completeness checks required if a company wants to apply for MiQ certification to have their performance certified. Refer to MiQ.org for specific guidance. </a:t>
          </a:r>
        </a:p>
      </xdr:txBody>
    </xdr:sp>
    <xdr:clientData/>
  </xdr:twoCellAnchor>
  <xdr:twoCellAnchor editAs="oneCell">
    <xdr:from>
      <xdr:col>3</xdr:col>
      <xdr:colOff>1583616</xdr:colOff>
      <xdr:row>4</xdr:row>
      <xdr:rowOff>187810</xdr:rowOff>
    </xdr:from>
    <xdr:to>
      <xdr:col>4</xdr:col>
      <xdr:colOff>380970</xdr:colOff>
      <xdr:row>7</xdr:row>
      <xdr:rowOff>169880</xdr:rowOff>
    </xdr:to>
    <xdr:pic>
      <xdr:nvPicPr>
        <xdr:cNvPr id="5" name="Picture 4" descr="MiQ - Methane Intelligence (@MiQ_Org) / Twitter">
          <a:extLst>
            <a:ext uri="{FF2B5EF4-FFF2-40B4-BE49-F238E27FC236}">
              <a16:creationId xmlns:a16="http://schemas.microsoft.com/office/drawing/2014/main" id="{E222BCB9-DB27-AFDB-4A0F-C564BB9CC3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186" b="32455"/>
        <a:stretch/>
      </xdr:blipFill>
      <xdr:spPr bwMode="auto">
        <a:xfrm>
          <a:off x="10178976" y="1003150"/>
          <a:ext cx="1494834" cy="576430"/>
        </a:xfrm>
        <a:prstGeom prst="rect">
          <a:avLst/>
        </a:prstGeom>
        <a:noFill/>
        <a:ln>
          <a:noFill/>
        </a:ln>
      </xdr:spPr>
    </xdr:pic>
    <xdr:clientData/>
  </xdr:twoCellAnchor>
  <xdr:twoCellAnchor editAs="oneCell">
    <xdr:from>
      <xdr:col>3</xdr:col>
      <xdr:colOff>419547</xdr:colOff>
      <xdr:row>1</xdr:row>
      <xdr:rowOff>174812</xdr:rowOff>
    </xdr:from>
    <xdr:to>
      <xdr:col>4</xdr:col>
      <xdr:colOff>1504277</xdr:colOff>
      <xdr:row>4</xdr:row>
      <xdr:rowOff>58836</xdr:rowOff>
    </xdr:to>
    <xdr:pic>
      <xdr:nvPicPr>
        <xdr:cNvPr id="6" name="Picture 5">
          <a:extLst>
            <a:ext uri="{FF2B5EF4-FFF2-40B4-BE49-F238E27FC236}">
              <a16:creationId xmlns:a16="http://schemas.microsoft.com/office/drawing/2014/main" id="{3CC3D998-815F-B05E-BBCC-5468B20536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907" y="395792"/>
          <a:ext cx="3789830" cy="466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3</xdr:row>
      <xdr:rowOff>98613</xdr:rowOff>
    </xdr:from>
    <xdr:to>
      <xdr:col>1</xdr:col>
      <xdr:colOff>746228</xdr:colOff>
      <xdr:row>6</xdr:row>
      <xdr:rowOff>21741</xdr:rowOff>
    </xdr:to>
    <xdr:pic>
      <xdr:nvPicPr>
        <xdr:cNvPr id="3" name="Picture 2" descr="MiQ - Methane Intelligence (@MiQ_Org) / Twitter">
          <a:extLst>
            <a:ext uri="{FF2B5EF4-FFF2-40B4-BE49-F238E27FC236}">
              <a16:creationId xmlns:a16="http://schemas.microsoft.com/office/drawing/2014/main" id="{37C6AC88-9CE5-41EC-BAB4-4D9850FBBC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94" t="29187" r="57446" b="31854"/>
        <a:stretch/>
      </xdr:blipFill>
      <xdr:spPr bwMode="auto">
        <a:xfrm>
          <a:off x="313765" y="744072"/>
          <a:ext cx="590018" cy="618565"/>
        </a:xfrm>
        <a:prstGeom prst="rect">
          <a:avLst/>
        </a:prstGeom>
        <a:noFill/>
        <a:ln>
          <a:noFill/>
        </a:ln>
      </xdr:spPr>
    </xdr:pic>
    <xdr:clientData/>
  </xdr:twoCellAnchor>
  <xdr:twoCellAnchor editAs="oneCell">
    <xdr:from>
      <xdr:col>1</xdr:col>
      <xdr:colOff>197223</xdr:colOff>
      <xdr:row>0</xdr:row>
      <xdr:rowOff>76713</xdr:rowOff>
    </xdr:from>
    <xdr:to>
      <xdr:col>1</xdr:col>
      <xdr:colOff>818774</xdr:colOff>
      <xdr:row>3</xdr:row>
      <xdr:rowOff>16585</xdr:rowOff>
    </xdr:to>
    <xdr:pic>
      <xdr:nvPicPr>
        <xdr:cNvPr id="5" name="Picture 4">
          <a:extLst>
            <a:ext uri="{FF2B5EF4-FFF2-40B4-BE49-F238E27FC236}">
              <a16:creationId xmlns:a16="http://schemas.microsoft.com/office/drawing/2014/main" id="{692610E9-3EB5-FE46-7E55-AE835D7B3C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588" y="76713"/>
          <a:ext cx="617741" cy="577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1033631</xdr:colOff>
      <xdr:row>1</xdr:row>
      <xdr:rowOff>123265</xdr:rowOff>
    </xdr:from>
    <xdr:to>
      <xdr:col>4</xdr:col>
      <xdr:colOff>1619839</xdr:colOff>
      <xdr:row>4</xdr:row>
      <xdr:rowOff>155090</xdr:rowOff>
    </xdr:to>
    <xdr:pic>
      <xdr:nvPicPr>
        <xdr:cNvPr id="3" name="Picture 2" descr="MiQ - Methane Intelligence (@MiQ_Org) / Twitter">
          <a:extLst>
            <a:ext uri="{FF2B5EF4-FFF2-40B4-BE49-F238E27FC236}">
              <a16:creationId xmlns:a16="http://schemas.microsoft.com/office/drawing/2014/main" id="{C3081B2E-5773-448C-BD42-414231E5D8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94" t="29187" r="57446" b="31854"/>
        <a:stretch/>
      </xdr:blipFill>
      <xdr:spPr bwMode="auto">
        <a:xfrm>
          <a:off x="7388711" y="214705"/>
          <a:ext cx="590018" cy="618565"/>
        </a:xfrm>
        <a:prstGeom prst="rect">
          <a:avLst/>
        </a:prstGeom>
        <a:noFill/>
        <a:ln>
          <a:noFill/>
        </a:ln>
      </xdr:spPr>
    </xdr:pic>
    <xdr:clientData/>
  </xdr:twoCellAnchor>
  <xdr:twoCellAnchor editAs="oneCell">
    <xdr:from>
      <xdr:col>4</xdr:col>
      <xdr:colOff>304800</xdr:colOff>
      <xdr:row>1</xdr:row>
      <xdr:rowOff>137160</xdr:rowOff>
    </xdr:from>
    <xdr:to>
      <xdr:col>4</xdr:col>
      <xdr:colOff>924446</xdr:colOff>
      <xdr:row>4</xdr:row>
      <xdr:rowOff>131941</xdr:rowOff>
    </xdr:to>
    <xdr:pic>
      <xdr:nvPicPr>
        <xdr:cNvPr id="4" name="Picture 3">
          <a:extLst>
            <a:ext uri="{FF2B5EF4-FFF2-40B4-BE49-F238E27FC236}">
              <a16:creationId xmlns:a16="http://schemas.microsoft.com/office/drawing/2014/main" id="{5F6397A7-674E-4349-B42B-942E3C1EEA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9880" y="228600"/>
          <a:ext cx="617741" cy="5777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137160</xdr:colOff>
      <xdr:row>1</xdr:row>
      <xdr:rowOff>45720</xdr:rowOff>
    </xdr:from>
    <xdr:to>
      <xdr:col>3</xdr:col>
      <xdr:colOff>1851660</xdr:colOff>
      <xdr:row>3</xdr:row>
      <xdr:rowOff>129540</xdr:rowOff>
    </xdr:to>
    <xdr:sp macro="" textlink="">
      <xdr:nvSpPr>
        <xdr:cNvPr id="2" name="TextBox 1">
          <a:extLst>
            <a:ext uri="{FF2B5EF4-FFF2-40B4-BE49-F238E27FC236}">
              <a16:creationId xmlns:a16="http://schemas.microsoft.com/office/drawing/2014/main" id="{94AA78ED-5EB7-5EB7-82C4-2A5CCD9FA915}"/>
            </a:ext>
          </a:extLst>
        </xdr:cNvPr>
        <xdr:cNvSpPr txBox="1"/>
      </xdr:nvSpPr>
      <xdr:spPr>
        <a:xfrm>
          <a:off x="137160" y="129540"/>
          <a:ext cx="6240780" cy="472440"/>
        </a:xfrm>
        <a:prstGeom prst="rect">
          <a:avLst/>
        </a:prstGeom>
        <a:solidFill>
          <a:schemeClr val="lt1"/>
        </a:solidFill>
        <a:ln w="28575" cmpd="sng">
          <a:solidFill>
            <a:srgbClr val="07AF9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Default</a:t>
          </a:r>
          <a:r>
            <a:rPr lang="en-CA" sz="1100" baseline="0"/>
            <a:t> factors are provided below. Any amendments to this sheet will impact the emissions calculations. If default values are overwritten, please include a justification on the 'Inputs and Outputs' tab. </a:t>
          </a:r>
          <a:endParaRPr lang="en-CA"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62753</xdr:colOff>
      <xdr:row>0</xdr:row>
      <xdr:rowOff>134469</xdr:rowOff>
    </xdr:from>
    <xdr:to>
      <xdr:col>18</xdr:col>
      <xdr:colOff>121024</xdr:colOff>
      <xdr:row>23</xdr:row>
      <xdr:rowOff>125505</xdr:rowOff>
    </xdr:to>
    <xdr:sp macro="" textlink="">
      <xdr:nvSpPr>
        <xdr:cNvPr id="3" name="TextBox 2">
          <a:extLst>
            <a:ext uri="{FF2B5EF4-FFF2-40B4-BE49-F238E27FC236}">
              <a16:creationId xmlns:a16="http://schemas.microsoft.com/office/drawing/2014/main" id="{0203AE54-9D33-48C2-A9E7-33E43068648C}"/>
            </a:ext>
          </a:extLst>
        </xdr:cNvPr>
        <xdr:cNvSpPr txBox="1"/>
      </xdr:nvSpPr>
      <xdr:spPr>
        <a:xfrm>
          <a:off x="11698941" y="134469"/>
          <a:ext cx="3106271" cy="4222377"/>
        </a:xfrm>
        <a:prstGeom prst="rect">
          <a:avLst/>
        </a:prstGeom>
        <a:solidFill>
          <a:schemeClr val="lt1"/>
        </a:solidFill>
        <a:ln w="38100" cmpd="sng">
          <a:solidFill>
            <a:srgbClr val="07AF9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a:latin typeface="Nunito Sans" panose="00000500000000000000" pitchFamily="2" charset="0"/>
            </a:rPr>
            <a:t>Total default leaker rates minus 30% (10% reduction each survey)</a:t>
          </a:r>
        </a:p>
        <a:p>
          <a:endParaRPr lang="en-CA" sz="1000">
            <a:latin typeface="Nunito Sans" panose="00000500000000000000" pitchFamily="2" charset="0"/>
          </a:endParaRPr>
        </a:p>
        <a:p>
          <a:r>
            <a:rPr lang="en-CA" sz="1000">
              <a:latin typeface="Nunito Sans" panose="00000500000000000000" pitchFamily="2" charset="0"/>
            </a:rPr>
            <a:t>Since Canada</a:t>
          </a:r>
          <a:r>
            <a:rPr lang="en-CA" sz="1000" baseline="0">
              <a:latin typeface="Nunito Sans" panose="00000500000000000000" pitchFamily="2" charset="0"/>
            </a:rPr>
            <a:t> uses half-way since last survey:</a:t>
          </a:r>
        </a:p>
        <a:p>
          <a:r>
            <a:rPr lang="en-CA" sz="1000" baseline="0">
              <a:latin typeface="Nunito Sans" panose="00000500000000000000" pitchFamily="2" charset="0"/>
            </a:rPr>
            <a:t>Each survey period is 365 days / 3 surveys per year</a:t>
          </a:r>
        </a:p>
        <a:p>
          <a:r>
            <a:rPr lang="en-CA" sz="1000" baseline="0">
              <a:latin typeface="Nunito Sans" panose="00000500000000000000" pitchFamily="2" charset="0"/>
            </a:rPr>
            <a:t>Each survey period = 121.67 total days</a:t>
          </a:r>
        </a:p>
        <a:p>
          <a:r>
            <a:rPr lang="en-CA" sz="1000" baseline="0">
              <a:latin typeface="Nunito Sans" panose="00000500000000000000" pitchFamily="2" charset="0"/>
            </a:rPr>
            <a:t>Half of each survey leak duration = 121/2</a:t>
          </a:r>
        </a:p>
        <a:p>
          <a:r>
            <a:rPr lang="en-CA" sz="1000" baseline="0">
              <a:latin typeface="Nunito Sans" panose="00000500000000000000" pitchFamily="2" charset="0"/>
            </a:rPr>
            <a:t>each survey leak duration = 60.83</a:t>
          </a:r>
        </a:p>
        <a:p>
          <a:endParaRPr lang="en-CA" sz="1000" baseline="0">
            <a:latin typeface="Nunito Sans" panose="00000500000000000000" pitchFamily="2" charset="0"/>
          </a:endParaRPr>
        </a:p>
        <a:p>
          <a:r>
            <a:rPr lang="en-CA" sz="1000" baseline="0">
              <a:latin typeface="Nunito Sans" panose="00000500000000000000" pitchFamily="2" charset="0"/>
            </a:rPr>
            <a:t>Total annual = each survey duration * 3 survey periods</a:t>
          </a:r>
        </a:p>
        <a:p>
          <a:r>
            <a:rPr lang="en-CA" sz="1000" baseline="0">
              <a:latin typeface="Nunito Sans" panose="00000500000000000000" pitchFamily="2" charset="0"/>
            </a:rPr>
            <a:t>Total days = 60.83*3 = 182.5</a:t>
          </a:r>
        </a:p>
        <a:p>
          <a:endParaRPr lang="en-CA" sz="1000" baseline="0">
            <a:latin typeface="Nunito Sans" panose="00000500000000000000" pitchFamily="2" charset="0"/>
          </a:endParaRPr>
        </a:p>
        <a:p>
          <a:r>
            <a:rPr lang="en-CA" sz="1000" baseline="0">
              <a:latin typeface="Nunito Sans" panose="00000500000000000000" pitchFamily="2" charset="0"/>
            </a:rPr>
            <a:t>Emissions Methodology</a:t>
          </a:r>
        </a:p>
        <a:p>
          <a:r>
            <a:rPr lang="en-CA" sz="1000">
              <a:latin typeface="Nunito Sans" panose="00000500000000000000" pitchFamily="2" charset="0"/>
            </a:rPr>
            <a:t>Emissions Per</a:t>
          </a:r>
          <a:r>
            <a:rPr lang="en-CA" sz="1000" baseline="0">
              <a:latin typeface="Nunito Sans" panose="00000500000000000000" pitchFamily="2" charset="0"/>
            </a:rPr>
            <a:t> day = total emissions / 365</a:t>
          </a:r>
        </a:p>
        <a:p>
          <a:r>
            <a:rPr lang="en-CA" sz="1000" baseline="0">
              <a:latin typeface="Nunito Sans" panose="00000500000000000000" pitchFamily="2" charset="0"/>
            </a:rPr>
            <a:t>Emissions Annual = Emissions per day * 182.5</a:t>
          </a:r>
        </a:p>
        <a:p>
          <a:r>
            <a:rPr lang="en-CA" sz="1000" baseline="0">
              <a:latin typeface="Nunito Sans" panose="00000500000000000000" pitchFamily="2" charset="0"/>
            </a:rPr>
            <a:t>Minus 30% for 10% less each survey</a:t>
          </a:r>
        </a:p>
        <a:p>
          <a:endParaRPr lang="en-CA" sz="1000">
            <a:latin typeface="Nunito Sans" panose="00000500000000000000" pitchFamily="2" charset="0"/>
          </a:endParaRPr>
        </a:p>
        <a:p>
          <a:r>
            <a:rPr lang="en-CA" sz="1000">
              <a:latin typeface="Nunito Sans" panose="00000500000000000000" pitchFamily="2" charset="0"/>
            </a:rPr>
            <a:t>Days converted to hours.</a:t>
          </a:r>
        </a:p>
        <a:p>
          <a:endParaRPr lang="en-CA" sz="1000">
            <a:latin typeface="Nunito Sans" panose="00000500000000000000" pitchFamily="2" charset="0"/>
          </a:endParaRPr>
        </a:p>
        <a:p>
          <a:r>
            <a:rPr lang="en-CA" sz="1000">
              <a:latin typeface="Nunito Sans" panose="00000500000000000000" pitchFamily="2" charset="0"/>
            </a:rPr>
            <a:t>Total</a:t>
          </a:r>
          <a:r>
            <a:rPr lang="en-CA" sz="1000" baseline="0">
              <a:latin typeface="Nunito Sans" panose="00000500000000000000" pitchFamily="2" charset="0"/>
            </a:rPr>
            <a:t> volume minus 10%</a:t>
          </a:r>
        </a:p>
        <a:p>
          <a:r>
            <a:rPr lang="en-CA" sz="1000" baseline="0">
              <a:latin typeface="Nunito Sans" panose="00000500000000000000" pitchFamily="2" charset="0"/>
            </a:rPr>
            <a:t>Total voume minus 30%</a:t>
          </a:r>
        </a:p>
        <a:p>
          <a:r>
            <a:rPr lang="en-CA" sz="1000" baseline="0">
              <a:latin typeface="Nunito Sans" panose="00000500000000000000" pitchFamily="2" charset="0"/>
            </a:rPr>
            <a:t>Total volume minus 40%</a:t>
          </a:r>
          <a:endParaRPr lang="en-CA" sz="1100">
            <a:latin typeface="Nunito Sans" panose="00000500000000000000"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xdr:colOff>
      <xdr:row>1</xdr:row>
      <xdr:rowOff>53340</xdr:rowOff>
    </xdr:from>
    <xdr:to>
      <xdr:col>5</xdr:col>
      <xdr:colOff>556635</xdr:colOff>
      <xdr:row>29</xdr:row>
      <xdr:rowOff>114749</xdr:rowOff>
    </xdr:to>
    <xdr:pic>
      <xdr:nvPicPr>
        <xdr:cNvPr id="2" name="Picture 1">
          <a:extLst>
            <a:ext uri="{FF2B5EF4-FFF2-40B4-BE49-F238E27FC236}">
              <a16:creationId xmlns:a16="http://schemas.microsoft.com/office/drawing/2014/main" id="{5B784699-FDA8-D77C-121E-B36A6CE4881A}"/>
            </a:ext>
          </a:extLst>
        </xdr:cNvPr>
        <xdr:cNvPicPr>
          <a:picLocks noChangeAspect="1"/>
        </xdr:cNvPicPr>
      </xdr:nvPicPr>
      <xdr:blipFill>
        <a:blip xmlns:r="http://schemas.openxmlformats.org/officeDocument/2006/relationships" r:embed="rId1"/>
        <a:stretch>
          <a:fillRect/>
        </a:stretch>
      </xdr:blipFill>
      <xdr:spPr>
        <a:xfrm>
          <a:off x="60960" y="236220"/>
          <a:ext cx="4328535" cy="5182049"/>
        </a:xfrm>
        <a:prstGeom prst="rect">
          <a:avLst/>
        </a:prstGeom>
      </xdr:spPr>
    </xdr:pic>
    <xdr:clientData/>
  </xdr:twoCellAnchor>
  <xdr:twoCellAnchor editAs="oneCell">
    <xdr:from>
      <xdr:col>0</xdr:col>
      <xdr:colOff>76200</xdr:colOff>
      <xdr:row>29</xdr:row>
      <xdr:rowOff>45720</xdr:rowOff>
    </xdr:from>
    <xdr:to>
      <xdr:col>5</xdr:col>
      <xdr:colOff>488048</xdr:colOff>
      <xdr:row>31</xdr:row>
      <xdr:rowOff>45752</xdr:rowOff>
    </xdr:to>
    <xdr:pic>
      <xdr:nvPicPr>
        <xdr:cNvPr id="3" name="Picture 2">
          <a:extLst>
            <a:ext uri="{FF2B5EF4-FFF2-40B4-BE49-F238E27FC236}">
              <a16:creationId xmlns:a16="http://schemas.microsoft.com/office/drawing/2014/main" id="{2ACD2E30-B816-B894-25C3-8815D17D0E31}"/>
            </a:ext>
          </a:extLst>
        </xdr:cNvPr>
        <xdr:cNvPicPr>
          <a:picLocks noChangeAspect="1"/>
        </xdr:cNvPicPr>
      </xdr:nvPicPr>
      <xdr:blipFill>
        <a:blip xmlns:r="http://schemas.openxmlformats.org/officeDocument/2006/relationships" r:embed="rId2"/>
        <a:stretch>
          <a:fillRect/>
        </a:stretch>
      </xdr:blipFill>
      <xdr:spPr>
        <a:xfrm>
          <a:off x="76200" y="5349240"/>
          <a:ext cx="4244708" cy="365792"/>
        </a:xfrm>
        <a:prstGeom prst="rect">
          <a:avLst/>
        </a:prstGeom>
      </xdr:spPr>
    </xdr:pic>
    <xdr:clientData/>
  </xdr:twoCellAnchor>
  <xdr:twoCellAnchor editAs="oneCell">
    <xdr:from>
      <xdr:col>5</xdr:col>
      <xdr:colOff>800101</xdr:colOff>
      <xdr:row>1</xdr:row>
      <xdr:rowOff>68581</xdr:rowOff>
    </xdr:from>
    <xdr:to>
      <xdr:col>13</xdr:col>
      <xdr:colOff>571501</xdr:colOff>
      <xdr:row>7</xdr:row>
      <xdr:rowOff>129541</xdr:rowOff>
    </xdr:to>
    <xdr:pic>
      <xdr:nvPicPr>
        <xdr:cNvPr id="4" name="Picture 3">
          <a:extLst>
            <a:ext uri="{FF2B5EF4-FFF2-40B4-BE49-F238E27FC236}">
              <a16:creationId xmlns:a16="http://schemas.microsoft.com/office/drawing/2014/main" id="{3A4BACD4-C0BB-90CE-6BB0-F89170B6F1A8}"/>
            </a:ext>
          </a:extLst>
        </xdr:cNvPr>
        <xdr:cNvPicPr>
          <a:picLocks noChangeAspect="1"/>
        </xdr:cNvPicPr>
      </xdr:nvPicPr>
      <xdr:blipFill>
        <a:blip xmlns:r="http://schemas.openxmlformats.org/officeDocument/2006/relationships" r:embed="rId3"/>
        <a:stretch>
          <a:fillRect/>
        </a:stretch>
      </xdr:blipFill>
      <xdr:spPr>
        <a:xfrm>
          <a:off x="4632961" y="251461"/>
          <a:ext cx="4914900" cy="1158240"/>
        </a:xfrm>
        <a:prstGeom prst="rect">
          <a:avLst/>
        </a:prstGeom>
      </xdr:spPr>
    </xdr:pic>
    <xdr:clientData/>
  </xdr:twoCellAnchor>
  <xdr:twoCellAnchor editAs="oneCell">
    <xdr:from>
      <xdr:col>0</xdr:col>
      <xdr:colOff>45721</xdr:colOff>
      <xdr:row>31</xdr:row>
      <xdr:rowOff>129540</xdr:rowOff>
    </xdr:from>
    <xdr:to>
      <xdr:col>5</xdr:col>
      <xdr:colOff>685801</xdr:colOff>
      <xdr:row>60</xdr:row>
      <xdr:rowOff>168103</xdr:rowOff>
    </xdr:to>
    <xdr:pic>
      <xdr:nvPicPr>
        <xdr:cNvPr id="5" name="Picture 4">
          <a:extLst>
            <a:ext uri="{FF2B5EF4-FFF2-40B4-BE49-F238E27FC236}">
              <a16:creationId xmlns:a16="http://schemas.microsoft.com/office/drawing/2014/main" id="{12A27438-F49F-4FC3-88C0-64E7E784DCD9}"/>
            </a:ext>
          </a:extLst>
        </xdr:cNvPr>
        <xdr:cNvPicPr>
          <a:picLocks noChangeAspect="1"/>
        </xdr:cNvPicPr>
      </xdr:nvPicPr>
      <xdr:blipFill>
        <a:blip xmlns:r="http://schemas.openxmlformats.org/officeDocument/2006/relationships" r:embed="rId4"/>
        <a:stretch>
          <a:fillRect/>
        </a:stretch>
      </xdr:blipFill>
      <xdr:spPr>
        <a:xfrm>
          <a:off x="45721" y="5798820"/>
          <a:ext cx="4472940" cy="5342083"/>
        </a:xfrm>
        <a:prstGeom prst="rect">
          <a:avLst/>
        </a:prstGeom>
      </xdr:spPr>
    </xdr:pic>
    <xdr:clientData/>
  </xdr:twoCellAnchor>
  <xdr:twoCellAnchor editAs="oneCell">
    <xdr:from>
      <xdr:col>5</xdr:col>
      <xdr:colOff>800101</xdr:colOff>
      <xdr:row>7</xdr:row>
      <xdr:rowOff>144780</xdr:rowOff>
    </xdr:from>
    <xdr:to>
      <xdr:col>12</xdr:col>
      <xdr:colOff>492339</xdr:colOff>
      <xdr:row>32</xdr:row>
      <xdr:rowOff>145207</xdr:rowOff>
    </xdr:to>
    <xdr:pic>
      <xdr:nvPicPr>
        <xdr:cNvPr id="6" name="Picture 5">
          <a:extLst>
            <a:ext uri="{FF2B5EF4-FFF2-40B4-BE49-F238E27FC236}">
              <a16:creationId xmlns:a16="http://schemas.microsoft.com/office/drawing/2014/main" id="{AEB65089-056F-1BC8-D32F-808F0C43D94C}"/>
            </a:ext>
          </a:extLst>
        </xdr:cNvPr>
        <xdr:cNvPicPr>
          <a:picLocks noChangeAspect="1"/>
        </xdr:cNvPicPr>
      </xdr:nvPicPr>
      <xdr:blipFill>
        <a:blip xmlns:r="http://schemas.openxmlformats.org/officeDocument/2006/relationships" r:embed="rId5"/>
        <a:stretch>
          <a:fillRect/>
        </a:stretch>
      </xdr:blipFill>
      <xdr:spPr>
        <a:xfrm>
          <a:off x="4632961" y="1424940"/>
          <a:ext cx="4226138" cy="4572427"/>
        </a:xfrm>
        <a:prstGeom prst="rect">
          <a:avLst/>
        </a:prstGeom>
      </xdr:spPr>
    </xdr:pic>
    <xdr:clientData/>
  </xdr:twoCellAnchor>
  <xdr:twoCellAnchor editAs="oneCell">
    <xdr:from>
      <xdr:col>0</xdr:col>
      <xdr:colOff>30480</xdr:colOff>
      <xdr:row>61</xdr:row>
      <xdr:rowOff>7620</xdr:rowOff>
    </xdr:from>
    <xdr:to>
      <xdr:col>5</xdr:col>
      <xdr:colOff>670948</xdr:colOff>
      <xdr:row>67</xdr:row>
      <xdr:rowOff>15336</xdr:rowOff>
    </xdr:to>
    <xdr:pic>
      <xdr:nvPicPr>
        <xdr:cNvPr id="7" name="Picture 6">
          <a:extLst>
            <a:ext uri="{FF2B5EF4-FFF2-40B4-BE49-F238E27FC236}">
              <a16:creationId xmlns:a16="http://schemas.microsoft.com/office/drawing/2014/main" id="{F1C1BE77-3564-D12B-E5E1-1579DAEA25D8}"/>
            </a:ext>
          </a:extLst>
        </xdr:cNvPr>
        <xdr:cNvPicPr>
          <a:picLocks noChangeAspect="1"/>
        </xdr:cNvPicPr>
      </xdr:nvPicPr>
      <xdr:blipFill>
        <a:blip xmlns:r="http://schemas.openxmlformats.org/officeDocument/2006/relationships" r:embed="rId6"/>
        <a:stretch>
          <a:fillRect/>
        </a:stretch>
      </xdr:blipFill>
      <xdr:spPr>
        <a:xfrm>
          <a:off x="30480" y="11163300"/>
          <a:ext cx="4473328" cy="1104996"/>
        </a:xfrm>
        <a:prstGeom prst="rect">
          <a:avLst/>
        </a:prstGeom>
      </xdr:spPr>
    </xdr:pic>
    <xdr:clientData/>
  </xdr:twoCellAnchor>
  <xdr:twoCellAnchor editAs="oneCell">
    <xdr:from>
      <xdr:col>14</xdr:col>
      <xdr:colOff>198120</xdr:colOff>
      <xdr:row>1</xdr:row>
      <xdr:rowOff>53341</xdr:rowOff>
    </xdr:from>
    <xdr:to>
      <xdr:col>22</xdr:col>
      <xdr:colOff>114802</xdr:colOff>
      <xdr:row>9</xdr:row>
      <xdr:rowOff>9071</xdr:rowOff>
    </xdr:to>
    <xdr:pic>
      <xdr:nvPicPr>
        <xdr:cNvPr id="8" name="Picture 7">
          <a:extLst>
            <a:ext uri="{FF2B5EF4-FFF2-40B4-BE49-F238E27FC236}">
              <a16:creationId xmlns:a16="http://schemas.microsoft.com/office/drawing/2014/main" id="{FE984195-CD67-2D8D-C028-3DA7B1CD4F23}"/>
            </a:ext>
          </a:extLst>
        </xdr:cNvPr>
        <xdr:cNvPicPr>
          <a:picLocks noChangeAspect="1"/>
        </xdr:cNvPicPr>
      </xdr:nvPicPr>
      <xdr:blipFill>
        <a:blip xmlns:r="http://schemas.openxmlformats.org/officeDocument/2006/relationships" r:embed="rId7"/>
        <a:stretch>
          <a:fillRect/>
        </a:stretch>
      </xdr:blipFill>
      <xdr:spPr>
        <a:xfrm>
          <a:off x="9593580" y="236221"/>
          <a:ext cx="4549642" cy="1418770"/>
        </a:xfrm>
        <a:prstGeom prst="rect">
          <a:avLst/>
        </a:prstGeom>
      </xdr:spPr>
    </xdr:pic>
    <xdr:clientData/>
  </xdr:twoCellAnchor>
  <xdr:twoCellAnchor>
    <xdr:from>
      <xdr:col>0</xdr:col>
      <xdr:colOff>1005840</xdr:colOff>
      <xdr:row>36</xdr:row>
      <xdr:rowOff>91440</xdr:rowOff>
    </xdr:from>
    <xdr:to>
      <xdr:col>4</xdr:col>
      <xdr:colOff>15240</xdr:colOff>
      <xdr:row>40</xdr:row>
      <xdr:rowOff>30480</xdr:rowOff>
    </xdr:to>
    <xdr:sp macro="" textlink="">
      <xdr:nvSpPr>
        <xdr:cNvPr id="10" name="Rectangle 9">
          <a:extLst>
            <a:ext uri="{FF2B5EF4-FFF2-40B4-BE49-F238E27FC236}">
              <a16:creationId xmlns:a16="http://schemas.microsoft.com/office/drawing/2014/main" id="{17DAFD0D-B5F4-8743-0D77-EFE41D1C5347}"/>
            </a:ext>
          </a:extLst>
        </xdr:cNvPr>
        <xdr:cNvSpPr/>
      </xdr:nvSpPr>
      <xdr:spPr>
        <a:xfrm>
          <a:off x="1005840" y="6675120"/>
          <a:ext cx="2232660" cy="670560"/>
        </a:xfrm>
        <a:prstGeom prst="rect">
          <a:avLst/>
        </a:prstGeom>
        <a:noFill/>
        <a:ln w="28575">
          <a:solidFill>
            <a:srgbClr val="07AF97"/>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CA" sz="1100">
            <a:solidFill>
              <a:srgbClr val="07AF97"/>
            </a:solidFill>
          </a:endParaRPr>
        </a:p>
      </xdr:txBody>
    </xdr:sp>
    <xdr:clientData/>
  </xdr:twoCellAnchor>
  <xdr:twoCellAnchor editAs="oneCell">
    <xdr:from>
      <xdr:col>6</xdr:col>
      <xdr:colOff>0</xdr:colOff>
      <xdr:row>34</xdr:row>
      <xdr:rowOff>0</xdr:rowOff>
    </xdr:from>
    <xdr:to>
      <xdr:col>14</xdr:col>
      <xdr:colOff>282386</xdr:colOff>
      <xdr:row>51</xdr:row>
      <xdr:rowOff>30752</xdr:rowOff>
    </xdr:to>
    <xdr:pic>
      <xdr:nvPicPr>
        <xdr:cNvPr id="9" name="Picture 8">
          <a:extLst>
            <a:ext uri="{FF2B5EF4-FFF2-40B4-BE49-F238E27FC236}">
              <a16:creationId xmlns:a16="http://schemas.microsoft.com/office/drawing/2014/main" id="{AB029EAE-57EA-1FB5-220D-DCABD5868196}"/>
            </a:ext>
          </a:extLst>
        </xdr:cNvPr>
        <xdr:cNvPicPr>
          <a:picLocks noChangeAspect="1"/>
        </xdr:cNvPicPr>
      </xdr:nvPicPr>
      <xdr:blipFill>
        <a:blip xmlns:r="http://schemas.openxmlformats.org/officeDocument/2006/relationships" r:embed="rId8"/>
        <a:stretch>
          <a:fillRect/>
        </a:stretch>
      </xdr:blipFill>
      <xdr:spPr>
        <a:xfrm>
          <a:off x="4701540" y="6217920"/>
          <a:ext cx="5143946" cy="3139712"/>
        </a:xfrm>
        <a:prstGeom prst="rect">
          <a:avLst/>
        </a:prstGeom>
      </xdr:spPr>
    </xdr:pic>
    <xdr:clientData/>
  </xdr:twoCellAnchor>
  <xdr:twoCellAnchor>
    <xdr:from>
      <xdr:col>14</xdr:col>
      <xdr:colOff>167640</xdr:colOff>
      <xdr:row>9</xdr:row>
      <xdr:rowOff>121920</xdr:rowOff>
    </xdr:from>
    <xdr:to>
      <xdr:col>24</xdr:col>
      <xdr:colOff>305310</xdr:colOff>
      <xdr:row>47</xdr:row>
      <xdr:rowOff>45912</xdr:rowOff>
    </xdr:to>
    <xdr:grpSp>
      <xdr:nvGrpSpPr>
        <xdr:cNvPr id="16" name="Group 15">
          <a:extLst>
            <a:ext uri="{FF2B5EF4-FFF2-40B4-BE49-F238E27FC236}">
              <a16:creationId xmlns:a16="http://schemas.microsoft.com/office/drawing/2014/main" id="{29E0067D-D308-BF4E-E937-0D2915CDC219}"/>
            </a:ext>
          </a:extLst>
        </xdr:cNvPr>
        <xdr:cNvGrpSpPr/>
      </xdr:nvGrpSpPr>
      <xdr:grpSpPr>
        <a:xfrm>
          <a:off x="10746740" y="1836420"/>
          <a:ext cx="6601970" cy="7162992"/>
          <a:chOff x="9730740" y="1798320"/>
          <a:chExt cx="5989830" cy="6873432"/>
        </a:xfrm>
      </xdr:grpSpPr>
      <xdr:pic>
        <xdr:nvPicPr>
          <xdr:cNvPr id="11" name="Picture 10">
            <a:extLst>
              <a:ext uri="{FF2B5EF4-FFF2-40B4-BE49-F238E27FC236}">
                <a16:creationId xmlns:a16="http://schemas.microsoft.com/office/drawing/2014/main" id="{03F76D2F-A794-D9F1-9516-AB881DDB014F}"/>
              </a:ext>
            </a:extLst>
          </xdr:cNvPr>
          <xdr:cNvPicPr>
            <a:picLocks noChangeAspect="1"/>
          </xdr:cNvPicPr>
        </xdr:nvPicPr>
        <xdr:blipFill>
          <a:blip xmlns:r="http://schemas.openxmlformats.org/officeDocument/2006/relationships" r:embed="rId9"/>
          <a:stretch>
            <a:fillRect/>
          </a:stretch>
        </xdr:blipFill>
        <xdr:spPr>
          <a:xfrm>
            <a:off x="9837420" y="1798320"/>
            <a:ext cx="5883150" cy="4877223"/>
          </a:xfrm>
          <a:prstGeom prst="rect">
            <a:avLst/>
          </a:prstGeom>
        </xdr:spPr>
      </xdr:pic>
      <xdr:pic>
        <xdr:nvPicPr>
          <xdr:cNvPr id="12" name="Picture 11">
            <a:extLst>
              <a:ext uri="{FF2B5EF4-FFF2-40B4-BE49-F238E27FC236}">
                <a16:creationId xmlns:a16="http://schemas.microsoft.com/office/drawing/2014/main" id="{85920375-74A2-E397-75B8-EA107E9572BD}"/>
              </a:ext>
            </a:extLst>
          </xdr:cNvPr>
          <xdr:cNvPicPr>
            <a:picLocks noChangeAspect="1"/>
          </xdr:cNvPicPr>
        </xdr:nvPicPr>
        <xdr:blipFill rotWithShape="1">
          <a:blip xmlns:r="http://schemas.openxmlformats.org/officeDocument/2006/relationships" r:embed="rId10"/>
          <a:srcRect t="7560"/>
          <a:stretch/>
        </xdr:blipFill>
        <xdr:spPr>
          <a:xfrm>
            <a:off x="9730740" y="6621780"/>
            <a:ext cx="5883150" cy="2049972"/>
          </a:xfrm>
          <a:prstGeom prst="rect">
            <a:avLst/>
          </a:prstGeom>
        </xdr:spPr>
      </xdr:pic>
    </xdr:grpSp>
    <xdr:clientData/>
  </xdr:twoCellAnchor>
  <xdr:twoCellAnchor>
    <xdr:from>
      <xdr:col>9</xdr:col>
      <xdr:colOff>137160</xdr:colOff>
      <xdr:row>34</xdr:row>
      <xdr:rowOff>129540</xdr:rowOff>
    </xdr:from>
    <xdr:to>
      <xdr:col>11</xdr:col>
      <xdr:colOff>83820</xdr:colOff>
      <xdr:row>36</xdr:row>
      <xdr:rowOff>91440</xdr:rowOff>
    </xdr:to>
    <xdr:sp macro="" textlink="">
      <xdr:nvSpPr>
        <xdr:cNvPr id="13" name="Rectangle 12">
          <a:extLst>
            <a:ext uri="{FF2B5EF4-FFF2-40B4-BE49-F238E27FC236}">
              <a16:creationId xmlns:a16="http://schemas.microsoft.com/office/drawing/2014/main" id="{06E929B7-8746-4FC8-850A-1F7AA3FA0DC7}"/>
            </a:ext>
          </a:extLst>
        </xdr:cNvPr>
        <xdr:cNvSpPr/>
      </xdr:nvSpPr>
      <xdr:spPr>
        <a:xfrm>
          <a:off x="6667500" y="6347460"/>
          <a:ext cx="1165860" cy="327660"/>
        </a:xfrm>
        <a:prstGeom prst="rect">
          <a:avLst/>
        </a:prstGeom>
        <a:noFill/>
        <a:ln w="28575">
          <a:solidFill>
            <a:srgbClr val="07AF97"/>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CA" sz="1100"/>
        </a:p>
      </xdr:txBody>
    </xdr:sp>
    <xdr:clientData/>
  </xdr:twoCellAnchor>
  <xdr:twoCellAnchor editAs="oneCell">
    <xdr:from>
      <xdr:col>24</xdr:col>
      <xdr:colOff>457201</xdr:colOff>
      <xdr:row>1</xdr:row>
      <xdr:rowOff>53340</xdr:rowOff>
    </xdr:from>
    <xdr:to>
      <xdr:col>33</xdr:col>
      <xdr:colOff>184911</xdr:colOff>
      <xdr:row>20</xdr:row>
      <xdr:rowOff>0</xdr:rowOff>
    </xdr:to>
    <xdr:pic>
      <xdr:nvPicPr>
        <xdr:cNvPr id="14" name="Picture 13">
          <a:extLst>
            <a:ext uri="{FF2B5EF4-FFF2-40B4-BE49-F238E27FC236}">
              <a16:creationId xmlns:a16="http://schemas.microsoft.com/office/drawing/2014/main" id="{2EBBB016-A949-967E-A385-288D86482B4A}"/>
            </a:ext>
          </a:extLst>
        </xdr:cNvPr>
        <xdr:cNvPicPr>
          <a:picLocks noChangeAspect="1"/>
        </xdr:cNvPicPr>
      </xdr:nvPicPr>
      <xdr:blipFill>
        <a:blip xmlns:r="http://schemas.openxmlformats.org/officeDocument/2006/relationships" r:embed="rId11"/>
        <a:stretch>
          <a:fillRect/>
        </a:stretch>
      </xdr:blipFill>
      <xdr:spPr>
        <a:xfrm>
          <a:off x="15872461" y="266700"/>
          <a:ext cx="5214110" cy="3421380"/>
        </a:xfrm>
        <a:prstGeom prst="rect">
          <a:avLst/>
        </a:prstGeom>
      </xdr:spPr>
    </xdr:pic>
    <xdr:clientData/>
  </xdr:twoCellAnchor>
  <xdr:twoCellAnchor>
    <xdr:from>
      <xdr:col>24</xdr:col>
      <xdr:colOff>571500</xdr:colOff>
      <xdr:row>6</xdr:row>
      <xdr:rowOff>30480</xdr:rowOff>
    </xdr:from>
    <xdr:to>
      <xdr:col>33</xdr:col>
      <xdr:colOff>22860</xdr:colOff>
      <xdr:row>8</xdr:row>
      <xdr:rowOff>91440</xdr:rowOff>
    </xdr:to>
    <xdr:sp macro="" textlink="">
      <xdr:nvSpPr>
        <xdr:cNvPr id="15" name="Rectangle 14">
          <a:extLst>
            <a:ext uri="{FF2B5EF4-FFF2-40B4-BE49-F238E27FC236}">
              <a16:creationId xmlns:a16="http://schemas.microsoft.com/office/drawing/2014/main" id="{3F1811D9-21D8-5C27-1918-6089E48B772F}"/>
            </a:ext>
          </a:extLst>
        </xdr:cNvPr>
        <xdr:cNvSpPr/>
      </xdr:nvSpPr>
      <xdr:spPr>
        <a:xfrm>
          <a:off x="15986760" y="1158240"/>
          <a:ext cx="4937760" cy="426720"/>
        </a:xfrm>
        <a:prstGeom prst="rect">
          <a:avLst/>
        </a:prstGeom>
        <a:noFill/>
        <a:ln w="38100">
          <a:solidFill>
            <a:srgbClr val="07AF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persons/person.xml><?xml version="1.0" encoding="utf-8"?>
<personList xmlns="http://schemas.microsoft.com/office/spreadsheetml/2018/threadedcomments" xmlns:x="http://schemas.openxmlformats.org/spreadsheetml/2006/main">
  <person displayName="Chelsea Goral" id="{D7B91E4C-B8C2-4C35-8D5D-ED9D162C5849}" userId="Chelsea Goral"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2-11-18T23:49:44.57" personId="{D7B91E4C-B8C2-4C35-8D5D-ED9D162C5849}" id="{5FB071BB-4126-49B6-A7DC-C23F5BEE88CB}">
    <text>Gas to oil ratio taken at the well</text>
  </threadedComment>
  <threadedComment ref="C7" dT="2022-11-18T23:49:28.89" personId="{D7B91E4C-B8C2-4C35-8D5D-ED9D162C5849}" id="{FAA64300-5907-4F9F-B15A-D740705AA190}">
    <text>Gas remaining in solution ratio after separation</text>
  </threadedComment>
  <threadedComment ref="C8" dT="2022-11-18T23:54:33.75" personId="{D7B91E4C-B8C2-4C35-8D5D-ED9D162C5849}" id="{2CA7CBC5-D1A7-4E5C-8928-4378549ED156}">
    <text>Percentage of how much methane is presented in the composition of the fuel, flared, or vented gas</text>
  </threadedComment>
  <threadedComment ref="C9" dT="2022-11-18T23:54:54.80" personId="{D7B91E4C-B8C2-4C35-8D5D-ED9D162C5849}" id="{F9AF0923-5EA0-4EEF-AC24-26D53E4BA21A}">
    <text>Percentage of how much methane is presented in the composition of tank vapours remaining in solution</text>
  </threadedComment>
  <threadedComment ref="C12" dT="2022-11-18T23:54:01.30" personId="{D7B91E4C-B8C2-4C35-8D5D-ED9D162C5849}" id="{4F515177-34B4-41EA-BF3B-21946F5D7DA6}">
    <text>Percentage of how much gas is included in the total product as calculated based on MiQ V1.0 guidance</text>
  </threadedComment>
  <threadedComment ref="C21" dT="2022-11-28T21:27:30.51" personId="{D7B91E4C-B8C2-4C35-8D5D-ED9D162C5849}" id="{985C475D-D909-4264-A154-1EBA8D821457}">
    <text xml:space="preserve">a quantitative assurance process required to ensure a more complete emissions estimate. The process cross-references top-down detections and quantified emissions with a bottom-up inventory to ensure an operator's Methane Intensity falls within a designated MiQ Grade band.  </text>
  </threadedComment>
  <threadedComment ref="H38" dT="2022-12-01T17:22:56.96" personId="{D7B91E4C-B8C2-4C35-8D5D-ED9D162C5849}" id="{669E6BCC-66C9-4007-A46C-FAD5775214D2}">
    <text xml:space="preserve">Formula converts volumes to m3. Do not change the units unless overwriting with manual entry of volume in scf. </text>
  </threadedComment>
  <threadedComment ref="H39" dT="2022-12-01T17:23:02.00" personId="{D7B91E4C-B8C2-4C35-8D5D-ED9D162C5849}" id="{8FA3D155-D9B5-4E98-AE5E-5B92957F33A8}">
    <text xml:space="preserve">Formula converts volumes to m3. Do not change the units unless overwriting with manual entry of volume in scf. </text>
  </threadedComment>
  <threadedComment ref="H40" dT="2022-12-01T17:23:08.15" personId="{D7B91E4C-B8C2-4C35-8D5D-ED9D162C5849}" id="{D88F630C-368B-4C3F-AC32-B02326D0D1FC}">
    <text xml:space="preserve">Formula converts volumes to m3. Do not change the units unless overwriting with manual entry of volume in scf. </text>
  </threadedComment>
  <threadedComment ref="H41" dT="2022-11-18T22:39:30.30" personId="{D7B91E4C-B8C2-4C35-8D5D-ED9D162C5849}" id="{83A62B44-7FDE-4E8F-B156-C70D6D00A3B8}">
    <text>Volume converted to m3. If manual entry, ensure to select units of gas vented as m3 or scf</text>
  </threadedComment>
  <threadedComment ref="H43" dT="2022-11-18T22:39:30.30" personId="{D7B91E4C-B8C2-4C35-8D5D-ED9D162C5849}" id="{C2E38164-8497-4BB7-B386-52F8F82075C2}">
    <text>Volume converted to m3. If manual entry, ensure to select units of gas vented as m3 or scf</text>
  </threadedComment>
  <threadedComment ref="G52" dT="2022-11-18T22:39:30.30" personId="{D7B91E4C-B8C2-4C35-8D5D-ED9D162C5849}" id="{397FDA7C-1BDD-472E-A39E-C50F84F0D78B}">
    <text>Volume converted to m3. If manual entry, ensure to select units of gas vented as m3 or scf</text>
  </threadedComment>
  <threadedComment ref="G53" dT="2022-11-18T22:39:30.30" personId="{D7B91E4C-B8C2-4C35-8D5D-ED9D162C5849}" id="{6D1DBE8C-C689-429B-A040-F4E9F44C71AF}">
    <text>Volume converted to m3. If manual entry, ensure to select units of gas vented as m3 or scf</text>
  </threadedComment>
</ThreadedComments>
</file>

<file path=xl/threadedComments/threadedComment2.xml><?xml version="1.0" encoding="utf-8"?>
<ThreadedComments xmlns="http://schemas.microsoft.com/office/spreadsheetml/2018/threadedcomments" xmlns:x="http://schemas.openxmlformats.org/spreadsheetml/2006/main">
  <threadedComment ref="D43" dT="2022-11-18T23:43:05.70" personId="{D7B91E4C-B8C2-4C35-8D5D-ED9D162C5849}" id="{6884E0B7-C7C7-4421-BABB-F46E2174E372}">
    <text>Value not included in Total. See cell D49 for "Total Fugitives"</text>
  </threadedComment>
  <threadedComment ref="D44" dT="2022-11-18T23:43:08.97" personId="{D7B91E4C-B8C2-4C35-8D5D-ED9D162C5849}" id="{D1012951-605A-48FD-9ABA-EFC5D7698C57}">
    <text>Value not included in Total. See cell D49 for "Total Fugitives"</text>
  </threadedComment>
  <threadedComment ref="D45" dT="2022-11-18T23:43:58.36" personId="{D7B91E4C-B8C2-4C35-8D5D-ED9D162C5849}" id="{93E2A475-344F-4BC9-9975-933949E0D0C5}">
    <text>Value not included in Total. See cell D49 for "Total Fugitives"</text>
  </threadedComment>
  <threadedComment ref="D46" dT="2022-11-18T23:44:01.95" personId="{D7B91E4C-B8C2-4C35-8D5D-ED9D162C5849}" id="{047B1719-9336-44D8-9DF5-48929B872CE5}">
    <text>Value not included in Total. See cell D49 for "Total Fugitives"</text>
  </threadedComment>
  <threadedComment ref="D47" dT="2022-11-18T23:44:11.18" personId="{D7B91E4C-B8C2-4C35-8D5D-ED9D162C5849}" id="{37833962-9DB5-4194-811A-66EA81D8DC1F}">
    <text>Value not included in Total. See cell D49 for "Total Fugitives"</text>
  </threadedComment>
  <threadedComment ref="D48" dT="2022-11-18T23:44:14.35" personId="{D7B91E4C-B8C2-4C35-8D5D-ED9D162C5849}" id="{3652DBE5-AB37-4117-9195-431ECB8D3FE3}">
    <text>Value not included in Total. See cell D49 for "Total Fugitives"</text>
  </threadedComment>
  <threadedComment ref="D49" dT="2022-11-18T23:44:57.88" personId="{D7B91E4C-B8C2-4C35-8D5D-ED9D162C5849}" id="{1C07B0FD-B04E-414C-BFDC-68E03EF09C79}">
    <text>Cell is dependant on if leak counts are known. If no leaks counts are entered, then an estimates based on fugitives profiles is utilized.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static.aer.ca/prd/documents/manuals/Manual015.pdf" TargetMode="External"/><Relationship Id="rId7" Type="http://schemas.openxmlformats.org/officeDocument/2006/relationships/printerSettings" Target="../printerSettings/printerSettings2.bin"/><Relationship Id="rId2" Type="http://schemas.openxmlformats.org/officeDocument/2006/relationships/hyperlink" Target="https://www.ecfr.gov/current/title-40/chapter-I/subchapter-C/part-98?toc=1" TargetMode="External"/><Relationship Id="rId1" Type="http://schemas.openxmlformats.org/officeDocument/2006/relationships/hyperlink" Target="https://open.alberta.ca/dataset/5d79b86b-7811-413f-88d8-acd36cb9d6d2/resource/bf059e7e-29ba-4a78-8bee-6e97871faada/download/aep-alberta-greenhouse-gas-quantification-methodologies-version-2-2-2021-12.pdf" TargetMode="External"/><Relationship Id="rId6" Type="http://schemas.openxmlformats.org/officeDocument/2006/relationships/hyperlink" Target="https://www.eei.org/-/media/Project/EEI/Documents/Issues-and-Policy/NGSI_MethaneIntensityProtocol.pdf?la=en&amp;hash=8A2A2B5D4F237F65533229871B743988EE37917B" TargetMode="External"/><Relationship Id="rId11" Type="http://schemas.microsoft.com/office/2017/10/relationships/threadedComment" Target="../threadedComments/threadedComment2.xml"/><Relationship Id="rId5" Type="http://schemas.openxmlformats.org/officeDocument/2006/relationships/hyperlink" Target="https://static.aer.ca/prd/documents/manuals/Manual015.pdf" TargetMode="External"/><Relationship Id="rId10" Type="http://schemas.openxmlformats.org/officeDocument/2006/relationships/comments" Target="../comments2.xml"/><Relationship Id="rId4" Type="http://schemas.openxmlformats.org/officeDocument/2006/relationships/hyperlink" Target="https://static.aer.ca/prd/documents/manuals/Manual015.pdf"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2.gov.bc.ca/assets/gov/environment/climate-change/ind/quantification/wci-2012.pdf" TargetMode="External"/><Relationship Id="rId2" Type="http://schemas.openxmlformats.org/officeDocument/2006/relationships/hyperlink" Target="https://open.alberta.ca/dataset/5d79b86b-7811-413f-88d8-acd36cb9d6d2/resource/bf059e7e-29ba-4a78-8bee-6e97871faada/download/aep-alberta-greenhouse-gas-quantification-methodologies-version-2-2-2021-12.pdf" TargetMode="External"/><Relationship Id="rId1" Type="http://schemas.openxmlformats.org/officeDocument/2006/relationships/hyperlink" Target="https://www.epa.gov/system/files/documents/2022-04/revisions-and-confidentiality-determinations-for-data-elements-under-the-greenhouse-gas-reporting-rule.pdf" TargetMode="External"/><Relationship Id="rId5" Type="http://schemas.openxmlformats.org/officeDocument/2006/relationships/drawing" Target="../drawings/drawing6.xml"/><Relationship Id="rId4" Type="http://schemas.openxmlformats.org/officeDocument/2006/relationships/hyperlink" Target="https://www.eei.org/-/media/Project/EEI/Documents/Issues-and-Policy/NGSI_MethaneIntensityProtocol.pdf?la=en&amp;hash=8A2A2B5D4F237F65533229871B743988EE37917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3A087-B9C1-4F46-A3FF-B07021F3D3D3}">
  <dimension ref="A1:E171"/>
  <sheetViews>
    <sheetView tabSelected="1" zoomScaleNormal="100" workbookViewId="0">
      <selection activeCell="B14" sqref="B14"/>
    </sheetView>
  </sheetViews>
  <sheetFormatPr baseColWidth="10" defaultColWidth="8.83203125" defaultRowHeight="15"/>
  <cols>
    <col min="1" max="1" width="5.83203125" style="1" customWidth="1"/>
    <col min="2" max="2" width="40.6640625" style="1" customWidth="1"/>
    <col min="3" max="3" width="98.1640625" style="1" customWidth="1"/>
    <col min="4" max="4" width="39.33203125" style="1" customWidth="1"/>
    <col min="5" max="5" width="24.5" style="1" customWidth="1"/>
    <col min="6" max="16384" width="8.83203125" style="1"/>
  </cols>
  <sheetData>
    <row r="1" spans="1:5" ht="16">
      <c r="B1" s="38" t="s">
        <v>0</v>
      </c>
      <c r="C1" s="9"/>
    </row>
    <row r="2" spans="1:5" ht="16">
      <c r="B2" s="2"/>
    </row>
    <row r="3" spans="1:5" ht="16">
      <c r="B3" s="2"/>
    </row>
    <row r="4" spans="1:5" ht="16">
      <c r="B4" s="2"/>
    </row>
    <row r="5" spans="1:5" ht="16">
      <c r="B5" s="2"/>
    </row>
    <row r="6" spans="1:5" ht="16">
      <c r="B6" s="2"/>
    </row>
    <row r="7" spans="1:5" ht="16">
      <c r="B7" s="2"/>
    </row>
    <row r="8" spans="1:5" ht="16">
      <c r="B8" s="2"/>
    </row>
    <row r="9" spans="1:5" ht="16">
      <c r="B9" s="2"/>
    </row>
    <row r="10" spans="1:5" ht="16">
      <c r="B10" s="2"/>
    </row>
    <row r="11" spans="1:5" ht="24.5" customHeight="1"/>
    <row r="12" spans="1:5">
      <c r="B12" s="5" t="s">
        <v>1</v>
      </c>
      <c r="C12" s="7" t="s">
        <v>2</v>
      </c>
    </row>
    <row r="13" spans="1:5">
      <c r="B13" s="45" t="s">
        <v>3</v>
      </c>
      <c r="C13" s="7" t="s">
        <v>4</v>
      </c>
    </row>
    <row r="14" spans="1:5">
      <c r="B14" s="37" t="s">
        <v>5</v>
      </c>
      <c r="C14" s="7" t="s">
        <v>6</v>
      </c>
    </row>
    <row r="15" spans="1:5">
      <c r="E15"/>
    </row>
    <row r="16" spans="1:5">
      <c r="A16" s="8">
        <v>1</v>
      </c>
      <c r="B16" s="39" t="s">
        <v>7</v>
      </c>
    </row>
    <row r="17" spans="1:3">
      <c r="A17" s="8">
        <v>2</v>
      </c>
      <c r="B17" s="39" t="s">
        <v>8</v>
      </c>
    </row>
    <row r="18" spans="1:3">
      <c r="A18" s="8">
        <v>3</v>
      </c>
      <c r="B18" s="4" t="s">
        <v>9</v>
      </c>
    </row>
    <row r="19" spans="1:3">
      <c r="A19" s="8">
        <v>4</v>
      </c>
      <c r="B19" s="4" t="s">
        <v>10</v>
      </c>
    </row>
    <row r="20" spans="1:3">
      <c r="A20" s="8">
        <v>5</v>
      </c>
      <c r="B20" s="4" t="s">
        <v>11</v>
      </c>
    </row>
    <row r="21" spans="1:3">
      <c r="A21" s="8">
        <v>6</v>
      </c>
      <c r="B21" s="4" t="s">
        <v>12</v>
      </c>
    </row>
    <row r="22" spans="1:3">
      <c r="A22" s="8">
        <v>7</v>
      </c>
      <c r="B22" s="4" t="s">
        <v>13</v>
      </c>
    </row>
    <row r="23" spans="1:3">
      <c r="A23" s="8">
        <v>8</v>
      </c>
      <c r="B23" s="4" t="s">
        <v>14</v>
      </c>
    </row>
    <row r="24" spans="1:3">
      <c r="A24" s="8">
        <v>9</v>
      </c>
      <c r="B24" s="4" t="s">
        <v>15</v>
      </c>
    </row>
    <row r="25" spans="1:3">
      <c r="A25" s="8">
        <v>10</v>
      </c>
      <c r="B25" s="39" t="s">
        <v>443</v>
      </c>
    </row>
    <row r="26" spans="1:3">
      <c r="A26" s="8">
        <v>11</v>
      </c>
      <c r="B26" s="39" t="s">
        <v>444</v>
      </c>
    </row>
    <row r="27" spans="1:3">
      <c r="A27" s="8">
        <v>12</v>
      </c>
      <c r="B27" s="39" t="s">
        <v>445</v>
      </c>
    </row>
    <row r="29" spans="1:3" ht="21.5" customHeight="1">
      <c r="B29" s="158" t="s">
        <v>16</v>
      </c>
      <c r="C29" s="159"/>
    </row>
    <row r="30" spans="1:3">
      <c r="B30" s="46" t="s">
        <v>17</v>
      </c>
      <c r="C30" s="47" t="s">
        <v>18</v>
      </c>
    </row>
    <row r="31" spans="1:3">
      <c r="B31" s="6" t="s">
        <v>19</v>
      </c>
      <c r="C31" s="3" t="s">
        <v>20</v>
      </c>
    </row>
    <row r="32" spans="1:3">
      <c r="B32" s="46" t="s">
        <v>21</v>
      </c>
      <c r="C32" s="47" t="s">
        <v>22</v>
      </c>
    </row>
    <row r="33" spans="2:5">
      <c r="B33" s="6" t="s">
        <v>23</v>
      </c>
      <c r="C33" s="3" t="s">
        <v>24</v>
      </c>
    </row>
    <row r="34" spans="2:5">
      <c r="B34" s="46" t="s">
        <v>25</v>
      </c>
      <c r="C34" s="47" t="s">
        <v>26</v>
      </c>
    </row>
    <row r="35" spans="2:5">
      <c r="B35" s="6" t="s">
        <v>27</v>
      </c>
      <c r="C35" s="3" t="s">
        <v>28</v>
      </c>
    </row>
    <row r="36" spans="2:5">
      <c r="B36" s="46" t="s">
        <v>29</v>
      </c>
      <c r="C36" s="47" t="s">
        <v>30</v>
      </c>
    </row>
    <row r="38" spans="2:5" ht="18">
      <c r="B38" s="158" t="s">
        <v>31</v>
      </c>
      <c r="C38" s="160"/>
      <c r="D38" s="160"/>
      <c r="E38" s="159"/>
    </row>
    <row r="39" spans="2:5" ht="21">
      <c r="B39" s="50" t="s">
        <v>32</v>
      </c>
      <c r="C39" s="51" t="s">
        <v>33</v>
      </c>
      <c r="D39" s="52" t="s">
        <v>34</v>
      </c>
      <c r="E39" s="49" t="s">
        <v>35</v>
      </c>
    </row>
    <row r="40" spans="2:5">
      <c r="B40" s="166" t="s">
        <v>36</v>
      </c>
      <c r="C40" s="168" t="s">
        <v>37</v>
      </c>
      <c r="D40" s="53" t="s">
        <v>38</v>
      </c>
      <c r="E40" s="163" t="s">
        <v>39</v>
      </c>
    </row>
    <row r="41" spans="2:5">
      <c r="B41" s="167"/>
      <c r="C41" s="169"/>
      <c r="D41" s="54" t="s">
        <v>40</v>
      </c>
      <c r="E41" s="165"/>
    </row>
    <row r="42" spans="2:5">
      <c r="B42" s="178" t="s">
        <v>41</v>
      </c>
      <c r="C42" s="170" t="s">
        <v>42</v>
      </c>
      <c r="D42" s="55" t="s">
        <v>43</v>
      </c>
      <c r="E42" s="161" t="s">
        <v>44</v>
      </c>
    </row>
    <row r="43" spans="2:5">
      <c r="B43" s="179"/>
      <c r="C43" s="171"/>
      <c r="D43" s="56" t="s">
        <v>45</v>
      </c>
      <c r="E43" s="162"/>
    </row>
    <row r="44" spans="2:5">
      <c r="B44" s="179"/>
      <c r="C44" s="171"/>
      <c r="D44" s="57" t="s">
        <v>46</v>
      </c>
      <c r="E44" s="162"/>
    </row>
    <row r="45" spans="2:5">
      <c r="B45" s="179"/>
      <c r="C45" s="171"/>
      <c r="D45" s="56" t="s">
        <v>47</v>
      </c>
      <c r="E45" s="162"/>
    </row>
    <row r="46" spans="2:5">
      <c r="B46" s="179"/>
      <c r="C46" s="171"/>
      <c r="D46" s="56" t="s">
        <v>48</v>
      </c>
      <c r="E46" s="162"/>
    </row>
    <row r="47" spans="2:5">
      <c r="B47" s="166" t="s">
        <v>49</v>
      </c>
      <c r="C47" s="168" t="s">
        <v>50</v>
      </c>
      <c r="D47" s="53" t="s">
        <v>51</v>
      </c>
      <c r="E47" s="163" t="s">
        <v>44</v>
      </c>
    </row>
    <row r="48" spans="2:5">
      <c r="B48" s="180"/>
      <c r="C48" s="172"/>
      <c r="D48" s="58" t="s">
        <v>52</v>
      </c>
      <c r="E48" s="164"/>
    </row>
    <row r="49" spans="2:5">
      <c r="B49" s="180"/>
      <c r="C49" s="172"/>
      <c r="D49" s="58" t="s">
        <v>53</v>
      </c>
      <c r="E49" s="164"/>
    </row>
    <row r="50" spans="2:5">
      <c r="B50" s="180"/>
      <c r="C50" s="172"/>
      <c r="D50" s="59" t="s">
        <v>54</v>
      </c>
      <c r="E50" s="164"/>
    </row>
    <row r="51" spans="2:5">
      <c r="B51" s="167"/>
      <c r="C51" s="169"/>
      <c r="D51" s="60" t="s">
        <v>55</v>
      </c>
      <c r="E51" s="165"/>
    </row>
    <row r="52" spans="2:5">
      <c r="B52" s="173" t="s">
        <v>56</v>
      </c>
      <c r="C52" s="170" t="s">
        <v>57</v>
      </c>
      <c r="D52" s="55" t="s">
        <v>58</v>
      </c>
      <c r="E52" s="161" t="s">
        <v>39</v>
      </c>
    </row>
    <row r="53" spans="2:5">
      <c r="B53" s="174"/>
      <c r="C53" s="171"/>
      <c r="D53" s="56" t="s">
        <v>59</v>
      </c>
      <c r="E53" s="162"/>
    </row>
    <row r="54" spans="2:5">
      <c r="B54" s="174"/>
      <c r="C54" s="171"/>
      <c r="D54" s="57" t="s">
        <v>60</v>
      </c>
      <c r="E54" s="162"/>
    </row>
    <row r="55" spans="2:5">
      <c r="B55" s="174"/>
      <c r="C55" s="171"/>
      <c r="D55" s="57" t="s">
        <v>61</v>
      </c>
      <c r="E55" s="162"/>
    </row>
    <row r="56" spans="2:5">
      <c r="B56" s="174"/>
      <c r="C56" s="171"/>
      <c r="D56" s="57" t="s">
        <v>62</v>
      </c>
      <c r="E56" s="162"/>
    </row>
    <row r="57" spans="2:5">
      <c r="B57" s="174"/>
      <c r="C57" s="171"/>
      <c r="D57" s="57" t="s">
        <v>63</v>
      </c>
      <c r="E57" s="162"/>
    </row>
    <row r="58" spans="2:5">
      <c r="B58" s="175" t="s">
        <v>64</v>
      </c>
      <c r="C58" s="168" t="s">
        <v>65</v>
      </c>
      <c r="D58" s="53" t="s">
        <v>58</v>
      </c>
      <c r="E58" s="163" t="s">
        <v>44</v>
      </c>
    </row>
    <row r="59" spans="2:5">
      <c r="B59" s="176"/>
      <c r="C59" s="172"/>
      <c r="D59" s="58" t="s">
        <v>59</v>
      </c>
      <c r="E59" s="164"/>
    </row>
    <row r="60" spans="2:5">
      <c r="B60" s="176"/>
      <c r="C60" s="172"/>
      <c r="D60" s="59" t="s">
        <v>60</v>
      </c>
      <c r="E60" s="164"/>
    </row>
    <row r="61" spans="2:5">
      <c r="B61" s="176"/>
      <c r="C61" s="172"/>
      <c r="D61" s="59" t="s">
        <v>61</v>
      </c>
      <c r="E61" s="164"/>
    </row>
    <row r="62" spans="2:5">
      <c r="B62" s="176"/>
      <c r="C62" s="172"/>
      <c r="D62" s="59" t="s">
        <v>66</v>
      </c>
      <c r="E62" s="164"/>
    </row>
    <row r="63" spans="2:5">
      <c r="B63" s="177"/>
      <c r="C63" s="169"/>
      <c r="D63" s="60" t="s">
        <v>55</v>
      </c>
      <c r="E63" s="165"/>
    </row>
    <row r="64" spans="2:5">
      <c r="B64" s="173" t="s">
        <v>67</v>
      </c>
      <c r="C64" s="170" t="s">
        <v>68</v>
      </c>
      <c r="D64" s="55" t="s">
        <v>69</v>
      </c>
      <c r="E64" s="161" t="s">
        <v>39</v>
      </c>
    </row>
    <row r="65" spans="2:5">
      <c r="B65" s="174"/>
      <c r="C65" s="171"/>
      <c r="D65" s="56" t="s">
        <v>70</v>
      </c>
      <c r="E65" s="162"/>
    </row>
    <row r="66" spans="2:5">
      <c r="B66" s="174"/>
      <c r="C66" s="171"/>
      <c r="D66" s="56" t="s">
        <v>71</v>
      </c>
      <c r="E66" s="162"/>
    </row>
    <row r="67" spans="2:5">
      <c r="B67" s="174"/>
      <c r="C67" s="171"/>
      <c r="D67" s="56" t="s">
        <v>72</v>
      </c>
      <c r="E67" s="162"/>
    </row>
    <row r="68" spans="2:5">
      <c r="B68" s="193"/>
      <c r="C68" s="181"/>
      <c r="D68" s="61" t="s">
        <v>55</v>
      </c>
      <c r="E68" s="192"/>
    </row>
    <row r="69" spans="2:5">
      <c r="B69" s="175" t="s">
        <v>73</v>
      </c>
      <c r="C69" s="168" t="s">
        <v>68</v>
      </c>
      <c r="D69" s="53" t="s">
        <v>69</v>
      </c>
      <c r="E69" s="163" t="s">
        <v>44</v>
      </c>
    </row>
    <row r="70" spans="2:5">
      <c r="B70" s="176"/>
      <c r="C70" s="172"/>
      <c r="D70" s="58" t="s">
        <v>74</v>
      </c>
      <c r="E70" s="164"/>
    </row>
    <row r="71" spans="2:5">
      <c r="B71" s="176"/>
      <c r="C71" s="172"/>
      <c r="D71" s="58" t="s">
        <v>75</v>
      </c>
      <c r="E71" s="164"/>
    </row>
    <row r="72" spans="2:5">
      <c r="B72" s="176"/>
      <c r="C72" s="172"/>
      <c r="D72" s="58" t="s">
        <v>72</v>
      </c>
      <c r="E72" s="164"/>
    </row>
    <row r="73" spans="2:5">
      <c r="B73" s="177"/>
      <c r="C73" s="169"/>
      <c r="D73" s="62" t="s">
        <v>55</v>
      </c>
      <c r="E73" s="165"/>
    </row>
    <row r="74" spans="2:5">
      <c r="B74" s="178" t="s">
        <v>76</v>
      </c>
      <c r="C74" s="170" t="s">
        <v>77</v>
      </c>
      <c r="D74" s="55" t="s">
        <v>78</v>
      </c>
      <c r="E74" s="161" t="s">
        <v>39</v>
      </c>
    </row>
    <row r="75" spans="2:5" ht="15" customHeight="1">
      <c r="B75" s="179"/>
      <c r="C75" s="171"/>
      <c r="D75" s="56" t="s">
        <v>79</v>
      </c>
      <c r="E75" s="162"/>
    </row>
    <row r="76" spans="2:5">
      <c r="B76" s="175" t="s">
        <v>80</v>
      </c>
      <c r="C76" s="168" t="s">
        <v>81</v>
      </c>
      <c r="D76" s="53" t="s">
        <v>82</v>
      </c>
      <c r="E76" s="163" t="s">
        <v>39</v>
      </c>
    </row>
    <row r="77" spans="2:5">
      <c r="B77" s="176"/>
      <c r="C77" s="172"/>
      <c r="D77" s="58" t="s">
        <v>83</v>
      </c>
      <c r="E77" s="164"/>
    </row>
    <row r="78" spans="2:5">
      <c r="B78" s="176"/>
      <c r="C78" s="172"/>
      <c r="D78" s="58" t="s">
        <v>84</v>
      </c>
      <c r="E78" s="164"/>
    </row>
    <row r="79" spans="2:5">
      <c r="B79" s="176"/>
      <c r="C79" s="172"/>
      <c r="D79" s="58" t="s">
        <v>85</v>
      </c>
      <c r="E79" s="164"/>
    </row>
    <row r="80" spans="2:5">
      <c r="B80" s="176"/>
      <c r="C80" s="172"/>
      <c r="D80" s="58" t="s">
        <v>86</v>
      </c>
      <c r="E80" s="164"/>
    </row>
    <row r="81" spans="2:5">
      <c r="B81" s="177"/>
      <c r="C81" s="169"/>
      <c r="D81" s="62" t="s">
        <v>87</v>
      </c>
      <c r="E81" s="165"/>
    </row>
    <row r="82" spans="2:5">
      <c r="B82" s="173" t="s">
        <v>88</v>
      </c>
      <c r="C82" s="170" t="s">
        <v>81</v>
      </c>
      <c r="D82" s="55" t="s">
        <v>89</v>
      </c>
      <c r="E82" s="161" t="s">
        <v>39</v>
      </c>
    </row>
    <row r="83" spans="2:5">
      <c r="B83" s="174"/>
      <c r="C83" s="171"/>
      <c r="D83" s="56" t="s">
        <v>83</v>
      </c>
      <c r="E83" s="162"/>
    </row>
    <row r="84" spans="2:5">
      <c r="B84" s="174"/>
      <c r="C84" s="171"/>
      <c r="D84" s="56" t="s">
        <v>90</v>
      </c>
      <c r="E84" s="162"/>
    </row>
    <row r="85" spans="2:5">
      <c r="B85" s="174"/>
      <c r="C85" s="171"/>
      <c r="D85" s="56" t="s">
        <v>84</v>
      </c>
      <c r="E85" s="162"/>
    </row>
    <row r="86" spans="2:5">
      <c r="B86" s="174"/>
      <c r="C86" s="171"/>
      <c r="D86" s="56" t="s">
        <v>91</v>
      </c>
      <c r="E86" s="162"/>
    </row>
    <row r="87" spans="2:5">
      <c r="B87" s="193"/>
      <c r="C87" s="181"/>
      <c r="D87" s="61" t="s">
        <v>55</v>
      </c>
      <c r="E87" s="192"/>
    </row>
    <row r="88" spans="2:5">
      <c r="B88" s="166" t="s">
        <v>92</v>
      </c>
      <c r="C88" s="168" t="s">
        <v>93</v>
      </c>
      <c r="D88" s="53" t="s">
        <v>94</v>
      </c>
      <c r="E88" s="163" t="s">
        <v>39</v>
      </c>
    </row>
    <row r="89" spans="2:5">
      <c r="B89" s="180"/>
      <c r="C89" s="172"/>
      <c r="D89" s="58" t="s">
        <v>95</v>
      </c>
      <c r="E89" s="164"/>
    </row>
    <row r="90" spans="2:5">
      <c r="B90" s="180"/>
      <c r="C90" s="172"/>
      <c r="D90" s="58" t="s">
        <v>96</v>
      </c>
      <c r="E90" s="164"/>
    </row>
    <row r="91" spans="2:5">
      <c r="B91" s="180"/>
      <c r="C91" s="172"/>
      <c r="D91" s="58" t="s">
        <v>91</v>
      </c>
      <c r="E91" s="164"/>
    </row>
    <row r="92" spans="2:5">
      <c r="B92" s="167"/>
      <c r="C92" s="169"/>
      <c r="D92" s="62" t="s">
        <v>55</v>
      </c>
      <c r="E92" s="165"/>
    </row>
    <row r="93" spans="2:5">
      <c r="B93" s="178" t="s">
        <v>97</v>
      </c>
      <c r="C93" s="170" t="s">
        <v>98</v>
      </c>
      <c r="D93" s="55" t="s">
        <v>99</v>
      </c>
      <c r="E93" s="161" t="s">
        <v>39</v>
      </c>
    </row>
    <row r="94" spans="2:5">
      <c r="B94" s="179"/>
      <c r="C94" s="171"/>
      <c r="D94" s="56" t="s">
        <v>100</v>
      </c>
      <c r="E94" s="162"/>
    </row>
    <row r="95" spans="2:5">
      <c r="B95" s="179"/>
      <c r="C95" s="171"/>
      <c r="D95" s="56" t="s">
        <v>101</v>
      </c>
      <c r="E95" s="162"/>
    </row>
    <row r="96" spans="2:5">
      <c r="B96" s="179"/>
      <c r="C96" s="171"/>
      <c r="D96" s="56" t="s">
        <v>102</v>
      </c>
      <c r="E96" s="162"/>
    </row>
    <row r="97" spans="2:5">
      <c r="B97" s="179"/>
      <c r="C97" s="171"/>
      <c r="D97" s="56" t="s">
        <v>103</v>
      </c>
      <c r="E97" s="162"/>
    </row>
    <row r="98" spans="2:5">
      <c r="B98" s="179"/>
      <c r="C98" s="171"/>
      <c r="D98" s="56" t="s">
        <v>100</v>
      </c>
      <c r="E98" s="162"/>
    </row>
    <row r="99" spans="2:5">
      <c r="B99" s="185"/>
      <c r="C99" s="181"/>
      <c r="D99" s="61" t="s">
        <v>104</v>
      </c>
      <c r="E99" s="192"/>
    </row>
    <row r="100" spans="2:5">
      <c r="B100" s="175" t="s">
        <v>105</v>
      </c>
      <c r="C100" s="182" t="s">
        <v>106</v>
      </c>
      <c r="D100" s="53" t="s">
        <v>107</v>
      </c>
      <c r="E100" s="163" t="s">
        <v>44</v>
      </c>
    </row>
    <row r="101" spans="2:5">
      <c r="B101" s="176"/>
      <c r="C101" s="183"/>
      <c r="D101" s="58" t="s">
        <v>108</v>
      </c>
      <c r="E101" s="164"/>
    </row>
    <row r="102" spans="2:5">
      <c r="B102" s="176"/>
      <c r="C102" s="183"/>
      <c r="D102" s="58" t="s">
        <v>109</v>
      </c>
      <c r="E102" s="164"/>
    </row>
    <row r="103" spans="2:5">
      <c r="B103" s="177"/>
      <c r="C103" s="184"/>
      <c r="D103" s="62" t="s">
        <v>110</v>
      </c>
      <c r="E103" s="165"/>
    </row>
    <row r="104" spans="2:5" ht="30">
      <c r="B104" s="173" t="s">
        <v>111</v>
      </c>
      <c r="C104" s="170" t="s">
        <v>112</v>
      </c>
      <c r="D104" s="55" t="s">
        <v>113</v>
      </c>
      <c r="E104" s="161" t="s">
        <v>44</v>
      </c>
    </row>
    <row r="105" spans="2:5">
      <c r="B105" s="174"/>
      <c r="C105" s="171"/>
      <c r="D105" s="56" t="s">
        <v>114</v>
      </c>
      <c r="E105" s="162"/>
    </row>
    <row r="106" spans="2:5">
      <c r="B106" s="174"/>
      <c r="C106" s="171"/>
      <c r="D106" s="56" t="s">
        <v>115</v>
      </c>
      <c r="E106" s="162"/>
    </row>
    <row r="107" spans="2:5">
      <c r="B107" s="193"/>
      <c r="C107" s="181"/>
      <c r="D107" s="61" t="s">
        <v>110</v>
      </c>
      <c r="E107" s="192"/>
    </row>
    <row r="108" spans="2:5">
      <c r="B108" s="166" t="s">
        <v>116</v>
      </c>
      <c r="C108" s="168" t="s">
        <v>117</v>
      </c>
      <c r="D108" s="53" t="s">
        <v>118</v>
      </c>
      <c r="E108" s="163" t="s">
        <v>44</v>
      </c>
    </row>
    <row r="109" spans="2:5">
      <c r="B109" s="180"/>
      <c r="C109" s="172"/>
      <c r="D109" s="58" t="s">
        <v>119</v>
      </c>
      <c r="E109" s="164"/>
    </row>
    <row r="110" spans="2:5">
      <c r="B110" s="180"/>
      <c r="C110" s="172"/>
      <c r="D110" s="58" t="s">
        <v>120</v>
      </c>
      <c r="E110" s="164"/>
    </row>
    <row r="111" spans="2:5">
      <c r="B111" s="180"/>
      <c r="C111" s="172"/>
      <c r="D111" s="58" t="s">
        <v>121</v>
      </c>
      <c r="E111" s="164"/>
    </row>
    <row r="112" spans="2:5">
      <c r="B112" s="180"/>
      <c r="C112" s="172"/>
      <c r="D112" s="58" t="s">
        <v>122</v>
      </c>
      <c r="E112" s="164"/>
    </row>
    <row r="113" spans="2:5">
      <c r="B113" s="167"/>
      <c r="C113" s="169"/>
      <c r="D113" s="62" t="s">
        <v>103</v>
      </c>
      <c r="E113" s="165"/>
    </row>
    <row r="114" spans="2:5">
      <c r="B114" s="178" t="s">
        <v>123</v>
      </c>
      <c r="C114" s="170" t="s">
        <v>124</v>
      </c>
      <c r="D114" s="55" t="s">
        <v>125</v>
      </c>
      <c r="E114" s="161" t="s">
        <v>44</v>
      </c>
    </row>
    <row r="115" spans="2:5">
      <c r="B115" s="179"/>
      <c r="C115" s="171"/>
      <c r="D115" s="56" t="s">
        <v>126</v>
      </c>
      <c r="E115" s="162"/>
    </row>
    <row r="116" spans="2:5">
      <c r="B116" s="179"/>
      <c r="C116" s="171"/>
      <c r="D116" s="56" t="s">
        <v>127</v>
      </c>
      <c r="E116" s="162"/>
    </row>
    <row r="117" spans="2:5">
      <c r="B117" s="179"/>
      <c r="C117" s="171"/>
      <c r="D117" s="56" t="s">
        <v>128</v>
      </c>
      <c r="E117" s="162"/>
    </row>
    <row r="118" spans="2:5">
      <c r="B118" s="185"/>
      <c r="C118" s="181"/>
      <c r="D118" s="61" t="s">
        <v>110</v>
      </c>
      <c r="E118" s="192"/>
    </row>
    <row r="119" spans="2:5">
      <c r="B119" s="166" t="s">
        <v>129</v>
      </c>
      <c r="C119" s="168" t="s">
        <v>130</v>
      </c>
      <c r="D119" s="53" t="s">
        <v>125</v>
      </c>
      <c r="E119" s="163" t="s">
        <v>44</v>
      </c>
    </row>
    <row r="120" spans="2:5">
      <c r="B120" s="180"/>
      <c r="C120" s="172"/>
      <c r="D120" s="58" t="s">
        <v>131</v>
      </c>
      <c r="E120" s="164"/>
    </row>
    <row r="121" spans="2:5">
      <c r="B121" s="180"/>
      <c r="C121" s="172"/>
      <c r="D121" s="58" t="s">
        <v>132</v>
      </c>
      <c r="E121" s="164"/>
    </row>
    <row r="122" spans="2:5">
      <c r="B122" s="167"/>
      <c r="C122" s="169"/>
      <c r="D122" s="62" t="s">
        <v>133</v>
      </c>
      <c r="E122" s="165"/>
    </row>
    <row r="123" spans="2:5">
      <c r="B123" s="178" t="s">
        <v>134</v>
      </c>
      <c r="C123" s="170" t="s">
        <v>135</v>
      </c>
      <c r="D123" s="55" t="s">
        <v>136</v>
      </c>
      <c r="E123" s="161" t="s">
        <v>44</v>
      </c>
    </row>
    <row r="124" spans="2:5">
      <c r="B124" s="179"/>
      <c r="C124" s="171"/>
      <c r="D124" s="56" t="s">
        <v>137</v>
      </c>
      <c r="E124" s="162"/>
    </row>
    <row r="125" spans="2:5">
      <c r="B125" s="179"/>
      <c r="C125" s="171"/>
      <c r="D125" s="56" t="s">
        <v>138</v>
      </c>
      <c r="E125" s="162"/>
    </row>
    <row r="126" spans="2:5">
      <c r="B126" s="179"/>
      <c r="C126" s="171"/>
      <c r="D126" s="56" t="s">
        <v>139</v>
      </c>
      <c r="E126" s="162"/>
    </row>
    <row r="127" spans="2:5">
      <c r="B127" s="185"/>
      <c r="C127" s="181"/>
      <c r="D127" s="61" t="s">
        <v>103</v>
      </c>
      <c r="E127" s="192"/>
    </row>
    <row r="128" spans="2:5">
      <c r="B128" s="175" t="s">
        <v>140</v>
      </c>
      <c r="C128" s="168" t="s">
        <v>141</v>
      </c>
      <c r="D128" s="53" t="s">
        <v>142</v>
      </c>
      <c r="E128" s="163" t="s">
        <v>44</v>
      </c>
    </row>
    <row r="129" spans="2:5">
      <c r="B129" s="176"/>
      <c r="C129" s="172"/>
      <c r="D129" s="58" t="s">
        <v>143</v>
      </c>
      <c r="E129" s="164"/>
    </row>
    <row r="130" spans="2:5">
      <c r="B130" s="177"/>
      <c r="C130" s="169"/>
      <c r="D130" s="62" t="s">
        <v>144</v>
      </c>
      <c r="E130" s="165"/>
    </row>
    <row r="131" spans="2:5">
      <c r="B131" s="173" t="s">
        <v>145</v>
      </c>
      <c r="C131" s="170" t="s">
        <v>146</v>
      </c>
      <c r="D131" s="55" t="s">
        <v>147</v>
      </c>
      <c r="E131" s="161" t="s">
        <v>44</v>
      </c>
    </row>
    <row r="132" spans="2:5">
      <c r="B132" s="174"/>
      <c r="C132" s="171"/>
      <c r="D132" s="56" t="s">
        <v>148</v>
      </c>
      <c r="E132" s="162"/>
    </row>
    <row r="133" spans="2:5">
      <c r="B133" s="193"/>
      <c r="C133" s="181"/>
      <c r="D133" s="61" t="s">
        <v>149</v>
      </c>
      <c r="E133" s="192"/>
    </row>
    <row r="134" spans="2:5">
      <c r="B134" s="166" t="s">
        <v>150</v>
      </c>
      <c r="C134" s="168" t="s">
        <v>151</v>
      </c>
      <c r="D134" s="53" t="s">
        <v>104</v>
      </c>
      <c r="E134" s="163" t="s">
        <v>44</v>
      </c>
    </row>
    <row r="135" spans="2:5">
      <c r="B135" s="180"/>
      <c r="C135" s="172"/>
      <c r="D135" s="58" t="s">
        <v>152</v>
      </c>
      <c r="E135" s="164"/>
    </row>
    <row r="136" spans="2:5">
      <c r="B136" s="180"/>
      <c r="C136" s="172"/>
      <c r="D136" s="58" t="s">
        <v>153</v>
      </c>
      <c r="E136" s="164"/>
    </row>
    <row r="137" spans="2:5">
      <c r="B137" s="180"/>
      <c r="C137" s="172"/>
      <c r="D137" s="58" t="s">
        <v>154</v>
      </c>
      <c r="E137" s="164"/>
    </row>
    <row r="138" spans="2:5">
      <c r="B138" s="180"/>
      <c r="C138" s="172"/>
      <c r="D138" s="58" t="s">
        <v>155</v>
      </c>
      <c r="E138" s="164"/>
    </row>
    <row r="139" spans="2:5">
      <c r="B139" s="167"/>
      <c r="C139" s="169"/>
      <c r="D139" s="62" t="s">
        <v>103</v>
      </c>
      <c r="E139" s="165"/>
    </row>
    <row r="140" spans="2:5">
      <c r="B140" s="173" t="s">
        <v>156</v>
      </c>
      <c r="C140" s="170" t="s">
        <v>157</v>
      </c>
      <c r="D140" s="55" t="s">
        <v>104</v>
      </c>
      <c r="E140" s="161" t="s">
        <v>44</v>
      </c>
    </row>
    <row r="141" spans="2:5">
      <c r="B141" s="174"/>
      <c r="C141" s="171"/>
      <c r="D141" s="56" t="s">
        <v>158</v>
      </c>
      <c r="E141" s="162"/>
    </row>
    <row r="142" spans="2:5">
      <c r="B142" s="174"/>
      <c r="C142" s="171"/>
      <c r="D142" s="56" t="s">
        <v>154</v>
      </c>
      <c r="E142" s="162"/>
    </row>
    <row r="143" spans="2:5">
      <c r="B143" s="174"/>
      <c r="C143" s="171"/>
      <c r="D143" s="56" t="s">
        <v>155</v>
      </c>
      <c r="E143" s="162"/>
    </row>
    <row r="144" spans="2:5">
      <c r="B144" s="193"/>
      <c r="C144" s="181"/>
      <c r="D144" s="61" t="s">
        <v>103</v>
      </c>
      <c r="E144" s="192"/>
    </row>
    <row r="145" spans="2:5">
      <c r="B145" s="166" t="s">
        <v>159</v>
      </c>
      <c r="C145" s="168" t="s">
        <v>160</v>
      </c>
      <c r="D145" s="53" t="s">
        <v>161</v>
      </c>
      <c r="E145" s="163" t="s">
        <v>44</v>
      </c>
    </row>
    <row r="146" spans="2:5">
      <c r="B146" s="167"/>
      <c r="C146" s="169"/>
      <c r="D146" s="62" t="s">
        <v>162</v>
      </c>
      <c r="E146" s="165"/>
    </row>
    <row r="147" spans="2:5">
      <c r="B147" s="178" t="s">
        <v>163</v>
      </c>
      <c r="C147" s="170" t="s">
        <v>151</v>
      </c>
      <c r="D147" s="55" t="s">
        <v>51</v>
      </c>
      <c r="E147" s="161" t="s">
        <v>44</v>
      </c>
    </row>
    <row r="148" spans="2:5">
      <c r="B148" s="179"/>
      <c r="C148" s="171"/>
      <c r="D148" s="56" t="s">
        <v>152</v>
      </c>
      <c r="E148" s="162"/>
    </row>
    <row r="149" spans="2:5">
      <c r="B149" s="185"/>
      <c r="C149" s="181"/>
      <c r="D149" s="61" t="s">
        <v>153</v>
      </c>
      <c r="E149" s="192"/>
    </row>
    <row r="150" spans="2:5">
      <c r="B150" s="175" t="s">
        <v>164</v>
      </c>
      <c r="C150" s="168" t="s">
        <v>165</v>
      </c>
      <c r="D150" s="53" t="s">
        <v>104</v>
      </c>
      <c r="E150" s="163" t="s">
        <v>44</v>
      </c>
    </row>
    <row r="151" spans="2:5">
      <c r="B151" s="176"/>
      <c r="C151" s="172"/>
      <c r="D151" s="58" t="s">
        <v>166</v>
      </c>
      <c r="E151" s="164"/>
    </row>
    <row r="152" spans="2:5">
      <c r="B152" s="176"/>
      <c r="C152" s="172"/>
      <c r="D152" s="58" t="s">
        <v>153</v>
      </c>
      <c r="E152" s="164"/>
    </row>
    <row r="153" spans="2:5">
      <c r="B153" s="176"/>
      <c r="C153" s="172"/>
      <c r="D153" s="58" t="s">
        <v>154</v>
      </c>
      <c r="E153" s="164"/>
    </row>
    <row r="154" spans="2:5">
      <c r="B154" s="176"/>
      <c r="C154" s="172"/>
      <c r="D154" s="58" t="s">
        <v>155</v>
      </c>
      <c r="E154" s="164"/>
    </row>
    <row r="155" spans="2:5">
      <c r="B155" s="177"/>
      <c r="C155" s="169"/>
      <c r="D155" s="62" t="s">
        <v>103</v>
      </c>
      <c r="E155" s="165"/>
    </row>
    <row r="156" spans="2:5">
      <c r="B156" s="178" t="s">
        <v>167</v>
      </c>
      <c r="C156" s="170" t="s">
        <v>168</v>
      </c>
      <c r="D156" s="55" t="s">
        <v>51</v>
      </c>
      <c r="E156" s="161" t="s">
        <v>44</v>
      </c>
    </row>
    <row r="157" spans="2:5">
      <c r="B157" s="179"/>
      <c r="C157" s="171"/>
      <c r="D157" s="56" t="s">
        <v>169</v>
      </c>
      <c r="E157" s="162"/>
    </row>
    <row r="158" spans="2:5">
      <c r="B158" s="179"/>
      <c r="C158" s="171"/>
      <c r="D158" s="56" t="s">
        <v>170</v>
      </c>
      <c r="E158" s="162"/>
    </row>
    <row r="159" spans="2:5">
      <c r="B159" s="179"/>
      <c r="C159" s="171"/>
      <c r="D159" s="56" t="s">
        <v>154</v>
      </c>
      <c r="E159" s="162"/>
    </row>
    <row r="160" spans="2:5">
      <c r="B160" s="179"/>
      <c r="C160" s="171"/>
      <c r="D160" s="56" t="s">
        <v>155</v>
      </c>
      <c r="E160" s="162"/>
    </row>
    <row r="161" spans="2:5">
      <c r="B161" s="185"/>
      <c r="C161" s="181"/>
      <c r="D161" s="61" t="s">
        <v>103</v>
      </c>
      <c r="E161" s="192"/>
    </row>
    <row r="162" spans="2:5">
      <c r="B162" s="166" t="s">
        <v>171</v>
      </c>
      <c r="C162" s="168" t="s">
        <v>172</v>
      </c>
      <c r="D162" s="186"/>
      <c r="E162" s="189" t="s">
        <v>173</v>
      </c>
    </row>
    <row r="163" spans="2:5">
      <c r="B163" s="180"/>
      <c r="C163" s="172"/>
      <c r="D163" s="187"/>
      <c r="E163" s="190"/>
    </row>
    <row r="164" spans="2:5" ht="38.5" customHeight="1">
      <c r="B164" s="167"/>
      <c r="C164" s="169"/>
      <c r="D164" s="188"/>
      <c r="E164" s="191"/>
    </row>
    <row r="165" spans="2:5">
      <c r="B165" s="44"/>
      <c r="C165" s="12"/>
      <c r="D165" s="12"/>
      <c r="E165" s="12"/>
    </row>
    <row r="166" spans="2:5">
      <c r="B166" s="12" t="s">
        <v>174</v>
      </c>
      <c r="C166" s="12"/>
      <c r="D166" s="12"/>
      <c r="E166" s="12"/>
    </row>
    <row r="167" spans="2:5">
      <c r="B167" s="12" t="s">
        <v>175</v>
      </c>
      <c r="C167" s="12"/>
      <c r="D167" s="12"/>
      <c r="E167" s="12"/>
    </row>
    <row r="168" spans="2:5">
      <c r="B168" s="12" t="s">
        <v>176</v>
      </c>
      <c r="C168" s="12"/>
      <c r="D168" s="12"/>
      <c r="E168" s="12"/>
    </row>
    <row r="169" spans="2:5">
      <c r="B169" s="12" t="s">
        <v>177</v>
      </c>
      <c r="C169" s="12"/>
      <c r="D169" s="12"/>
      <c r="E169" s="12"/>
    </row>
    <row r="170" spans="2:5">
      <c r="B170" s="43"/>
      <c r="C170" s="12"/>
      <c r="D170" s="12"/>
      <c r="E170" s="12"/>
    </row>
    <row r="171" spans="2:5">
      <c r="B171" s="4"/>
    </row>
  </sheetData>
  <mergeCells count="84">
    <mergeCell ref="B64:B68"/>
    <mergeCell ref="B69:B73"/>
    <mergeCell ref="B76:B81"/>
    <mergeCell ref="B82:B87"/>
    <mergeCell ref="B128:B130"/>
    <mergeCell ref="B123:B127"/>
    <mergeCell ref="B74:B75"/>
    <mergeCell ref="E145:E146"/>
    <mergeCell ref="E147:E149"/>
    <mergeCell ref="E150:E155"/>
    <mergeCell ref="E156:E161"/>
    <mergeCell ref="B100:B103"/>
    <mergeCell ref="B104:B107"/>
    <mergeCell ref="B131:B133"/>
    <mergeCell ref="B140:B144"/>
    <mergeCell ref="B150:B155"/>
    <mergeCell ref="E123:E127"/>
    <mergeCell ref="E128:E130"/>
    <mergeCell ref="E131:E133"/>
    <mergeCell ref="E134:E139"/>
    <mergeCell ref="E140:E144"/>
    <mergeCell ref="B156:B161"/>
    <mergeCell ref="C156:C161"/>
    <mergeCell ref="E162:E164"/>
    <mergeCell ref="E40:E41"/>
    <mergeCell ref="E52:E57"/>
    <mergeCell ref="E58:E63"/>
    <mergeCell ref="E64:E68"/>
    <mergeCell ref="E69:E73"/>
    <mergeCell ref="E74:E75"/>
    <mergeCell ref="E76:E81"/>
    <mergeCell ref="E82:E87"/>
    <mergeCell ref="E88:E92"/>
    <mergeCell ref="E93:E99"/>
    <mergeCell ref="E100:E103"/>
    <mergeCell ref="E104:E107"/>
    <mergeCell ref="E108:E113"/>
    <mergeCell ref="E114:E118"/>
    <mergeCell ref="E119:E122"/>
    <mergeCell ref="B162:B164"/>
    <mergeCell ref="C162:C164"/>
    <mergeCell ref="D162:D164"/>
    <mergeCell ref="B147:B149"/>
    <mergeCell ref="C147:C149"/>
    <mergeCell ref="C150:C155"/>
    <mergeCell ref="C140:C144"/>
    <mergeCell ref="B145:B146"/>
    <mergeCell ref="C145:C146"/>
    <mergeCell ref="C131:C133"/>
    <mergeCell ref="B134:B139"/>
    <mergeCell ref="C134:C139"/>
    <mergeCell ref="C123:C127"/>
    <mergeCell ref="C128:C130"/>
    <mergeCell ref="B114:B118"/>
    <mergeCell ref="C114:C118"/>
    <mergeCell ref="B119:B122"/>
    <mergeCell ref="C119:C122"/>
    <mergeCell ref="C100:C103"/>
    <mergeCell ref="C104:C107"/>
    <mergeCell ref="B108:B113"/>
    <mergeCell ref="C108:C113"/>
    <mergeCell ref="B88:B92"/>
    <mergeCell ref="C88:C92"/>
    <mergeCell ref="B93:B99"/>
    <mergeCell ref="C93:C99"/>
    <mergeCell ref="C74:C75"/>
    <mergeCell ref="C76:C81"/>
    <mergeCell ref="C82:C87"/>
    <mergeCell ref="C64:C68"/>
    <mergeCell ref="C69:C73"/>
    <mergeCell ref="C52:C57"/>
    <mergeCell ref="C58:C63"/>
    <mergeCell ref="B52:B57"/>
    <mergeCell ref="B58:B63"/>
    <mergeCell ref="C42:C46"/>
    <mergeCell ref="B42:B46"/>
    <mergeCell ref="C47:C51"/>
    <mergeCell ref="B47:B51"/>
    <mergeCell ref="B29:C29"/>
    <mergeCell ref="B38:E38"/>
    <mergeCell ref="E42:E46"/>
    <mergeCell ref="E47:E51"/>
    <mergeCell ref="B40:B41"/>
    <mergeCell ref="C40:C41"/>
  </mergeCells>
  <hyperlinks>
    <hyperlink ref="B16" location="'Inputs and Outputs'!D4" display="Select the jurisdictional quantification methodology in the input and outputs tab. Cell D4" xr:uid="{613EEE7A-8719-4788-8BB9-EBABE88104E7}"/>
    <hyperlink ref="B17" location="'Inputs and Outputs'!D5" display="Select facility type in cell C5" xr:uid="{7FFC62A2-790B-44AD-9594-3A813E3942D5}"/>
    <hyperlink ref="B25" location="'Inputs and Outputs'!D67" display="If there are other applicable sources not reflected in the tool, use the table starting in row 67 of the inputs and outputs tab to manually enter total emissions from that source" xr:uid="{68C445C0-39D5-44D4-8729-D6CDF970DE5A}"/>
    <hyperlink ref="D39" location="Instructions!B166" display="Reference Methods[1]" xr:uid="{38438FED-07AF-47C5-964C-51CC70D9EE5D}"/>
    <hyperlink ref="D41" location="Instructions!B167" display="GHGI[2] [5]" xr:uid="{75B6486F-F49D-42F7-9BEA-BE8D70ADB928}"/>
    <hyperlink ref="C100" location="_ftn3" display="_ftn3" xr:uid="{8B5FD218-5B42-42C2-8F69-2C694B75AE2C}"/>
    <hyperlink ref="E162" location="_ftn4" display="_ftn4" xr:uid="{814703AF-4707-48C0-AD44-17ACC2C6D11C}"/>
    <hyperlink ref="E162:E164" location="Instructions!B169" display="Source-dependent[4]" xr:uid="{A2892992-E101-4640-9AAA-823C4498348B}"/>
    <hyperlink ref="C100:C103" location="Instructions!B168" display="Emission factor-based method using an actual count of leaking equipment and components determined by equipment leak surveys and an emission factor representative of the Facility. Note that leaks identified by non-regulatory LDAR surveys MUST also be included.[3]" xr:uid="{9F9AFF21-34C9-469A-A195-67B26368E95B}"/>
    <hyperlink ref="B26" location="'Inputs and Outputs'!D20" display="Indicate whether V0.9 or V1.0 of the MiQ methodology is being used in the Inputs and Outputs tab cell D20 . This will be reflected in the methane intensity allocation" xr:uid="{869574B1-3AE1-4BE2-8DC1-3D3BD9CB5F58}"/>
    <hyperlink ref="B27" location="'Inputs and Outputs'!D21" display="If reconciliation is performed, enter the value of of how much emissions increased or decreased, as a percentage, in the Inputs and Outputs tab. Cell D21" xr:uid="{2942725B-2887-43DF-B1AA-F08B85A01742}"/>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D9226-A8CC-45BA-9D57-237B47876324}">
  <dimension ref="B1:J69"/>
  <sheetViews>
    <sheetView topLeftCell="B1" zoomScale="85" zoomScaleNormal="85" workbookViewId="0">
      <selection activeCell="D21" sqref="D21"/>
    </sheetView>
  </sheetViews>
  <sheetFormatPr baseColWidth="10" defaultColWidth="8.83203125" defaultRowHeight="15"/>
  <cols>
    <col min="1" max="1" width="2.33203125" style="84" customWidth="1"/>
    <col min="2" max="2" width="18.1640625" style="84" customWidth="1"/>
    <col min="3" max="3" width="58.6640625" style="84" customWidth="1"/>
    <col min="4" max="4" width="36.83203125" style="84" bestFit="1" customWidth="1"/>
    <col min="5" max="5" width="20.5" style="84" customWidth="1"/>
    <col min="6" max="6" width="26.5" style="84" customWidth="1"/>
    <col min="7" max="7" width="36.83203125" style="84" customWidth="1"/>
    <col min="8" max="8" width="16.5" style="84" customWidth="1"/>
    <col min="9" max="9" width="29.5" style="84" customWidth="1"/>
    <col min="10" max="10" width="49" style="84" customWidth="1"/>
    <col min="11" max="11" width="17.83203125" style="84" customWidth="1"/>
    <col min="12" max="16384" width="8.83203125" style="84"/>
  </cols>
  <sheetData>
    <row r="1" spans="3:8">
      <c r="C1" s="129" t="s">
        <v>3</v>
      </c>
      <c r="D1" s="130" t="s">
        <v>1</v>
      </c>
      <c r="E1" s="131" t="s">
        <v>5</v>
      </c>
    </row>
    <row r="3" spans="3:8" ht="18">
      <c r="C3" s="195" t="s">
        <v>178</v>
      </c>
      <c r="D3" s="196"/>
      <c r="G3" s="195" t="s">
        <v>179</v>
      </c>
      <c r="H3" s="196"/>
    </row>
    <row r="4" spans="3:8" ht="18">
      <c r="C4" s="85" t="s">
        <v>180</v>
      </c>
      <c r="D4" s="92" t="s">
        <v>454</v>
      </c>
      <c r="E4" s="89" t="s">
        <v>181</v>
      </c>
      <c r="G4" s="127" t="s">
        <v>182</v>
      </c>
      <c r="H4" s="157">
        <f>SUM('Methane Emissions Calculations'!D10:D42,'Methane Emissions Calculations'!$D$49:$D$50)*(1+$D$21)</f>
        <v>4341220.9762403239</v>
      </c>
    </row>
    <row r="5" spans="3:8" ht="18">
      <c r="C5" s="85" t="s">
        <v>183</v>
      </c>
      <c r="D5" s="92" t="s">
        <v>184</v>
      </c>
      <c r="E5" s="89" t="s">
        <v>181</v>
      </c>
      <c r="G5" s="127" t="s">
        <v>185</v>
      </c>
      <c r="H5" s="83">
        <f>(H4*1000*$D$12)/(((IF($D$15="scf",$D$13/35.315,$D$13)))*$D$8*'Methane Emissions Calculations'!$D$6)</f>
        <v>0.39352286030953409</v>
      </c>
    </row>
    <row r="6" spans="3:8">
      <c r="C6" s="85" t="s">
        <v>186</v>
      </c>
      <c r="D6" s="126">
        <f>VLOOKUP(D5,'Emission Factors and Defaults'!$B$28:$F$32,2,0)</f>
        <v>100</v>
      </c>
      <c r="E6" s="89" t="s">
        <v>187</v>
      </c>
    </row>
    <row r="7" spans="3:8">
      <c r="C7" s="85" t="s">
        <v>188</v>
      </c>
      <c r="D7" s="126">
        <f>VLOOKUP(D5,'Emission Factors and Defaults'!$B$28:$I$32,3,0)</f>
        <v>20</v>
      </c>
      <c r="E7" s="89" t="s">
        <v>187</v>
      </c>
      <c r="G7" s="90" t="s">
        <v>446</v>
      </c>
    </row>
    <row r="8" spans="3:8">
      <c r="C8" s="85" t="s">
        <v>189</v>
      </c>
      <c r="D8" s="126">
        <f>VLOOKUP(D5,'Emission Factors and Defaults'!$B$28:$I$32,4,0)</f>
        <v>0.73</v>
      </c>
      <c r="E8" s="89" t="s">
        <v>187</v>
      </c>
      <c r="G8" s="128"/>
    </row>
    <row r="9" spans="3:8" ht="18">
      <c r="C9" s="85" t="s">
        <v>190</v>
      </c>
      <c r="D9" s="126">
        <f>VLOOKUP(D5,'Emission Factors and Defaults'!$B$28:$I$32,5,0)</f>
        <v>0.1</v>
      </c>
      <c r="E9" s="89" t="s">
        <v>187</v>
      </c>
      <c r="G9" s="195" t="s">
        <v>191</v>
      </c>
      <c r="H9" s="196"/>
    </row>
    <row r="10" spans="3:8" ht="18">
      <c r="C10" s="85" t="s">
        <v>192</v>
      </c>
      <c r="D10" s="126">
        <f>VLOOKUP(D5,'Emission Factors and Defaults'!$B$28:$I$32,6,0)</f>
        <v>46</v>
      </c>
      <c r="E10" s="89" t="s">
        <v>187</v>
      </c>
      <c r="G10" s="127" t="s">
        <v>182</v>
      </c>
      <c r="H10" s="157">
        <f>((SUM('Methane Emissions Calculations'!$D$10:$D$15,'Methane Emissions Calculations'!$D$19:$D$21,'Methane Emissions Calculations'!$D$27:$D$30,'Methane Emissions Calculations'!$D$32:$D$39,'Methane Emissions Calculations'!$D$41:$D$42,'Methane Emissions Calculations'!$D$49)*$D$12)+SUM('Methane Emissions Calculations'!$D$16:$D$18,'Methane Emissions Calculations'!$D$22:$D$26,'Methane Emissions Calculations'!$D$31,'Methane Emissions Calculations'!$D$40,'Methane Emissions Calculations'!$D$50))*(1+$D$21)</f>
        <v>4207127.14246713</v>
      </c>
    </row>
    <row r="11" spans="3:8" ht="18">
      <c r="C11" s="85" t="s">
        <v>193</v>
      </c>
      <c r="D11" s="126">
        <f>VLOOKUP(D5,'Emission Factors and Defaults'!$B$28:$I$32,7,0)</f>
        <v>38500</v>
      </c>
      <c r="E11" s="89" t="s">
        <v>187</v>
      </c>
      <c r="G11" s="127" t="s">
        <v>194</v>
      </c>
      <c r="H11" s="83">
        <f>(H10*1000)/(((IF($D$15="scf",$D$14/35.315,$D$14)))*$D$8*'Methane Emissions Calculations'!$D$6)</f>
        <v>0.39465048580284301</v>
      </c>
    </row>
    <row r="12" spans="3:8">
      <c r="C12" s="85" t="s">
        <v>195</v>
      </c>
      <c r="D12" s="86">
        <f>(IF($D$15="scf",$D$13/35.315,$D$13)*$D$10)/((IF($D$17="bbls",$D$16/6.289814,$D$16)*$D$11)+(IF($D$15="scf",$D$13/35.315,$D$13)*$D$10))</f>
        <v>0.96910944927063025</v>
      </c>
      <c r="E12" s="87" t="s">
        <v>196</v>
      </c>
    </row>
    <row r="13" spans="3:8" ht="16">
      <c r="C13" s="85" t="s">
        <v>197</v>
      </c>
      <c r="D13" s="88">
        <v>762256705000</v>
      </c>
      <c r="E13" s="89" t="s">
        <v>198</v>
      </c>
      <c r="G13" s="90" t="s">
        <v>199</v>
      </c>
    </row>
    <row r="14" spans="3:8" ht="16">
      <c r="C14" s="85" t="s">
        <v>439</v>
      </c>
      <c r="D14" s="88">
        <v>760080330000</v>
      </c>
      <c r="E14" s="89" t="s">
        <v>198</v>
      </c>
      <c r="G14" s="91" t="s">
        <v>202</v>
      </c>
    </row>
    <row r="15" spans="3:8">
      <c r="C15" s="85" t="s">
        <v>200</v>
      </c>
      <c r="D15" s="92" t="s">
        <v>440</v>
      </c>
      <c r="E15" s="89" t="s">
        <v>181</v>
      </c>
    </row>
    <row r="16" spans="3:8">
      <c r="C16" s="85" t="s">
        <v>203</v>
      </c>
      <c r="D16" s="92">
        <v>5170467</v>
      </c>
      <c r="E16" s="89" t="s">
        <v>198</v>
      </c>
    </row>
    <row r="17" spans="2:10">
      <c r="C17" s="85" t="s">
        <v>204</v>
      </c>
      <c r="D17" s="92" t="s">
        <v>441</v>
      </c>
      <c r="E17" s="89" t="s">
        <v>181</v>
      </c>
      <c r="G17" s="93"/>
    </row>
    <row r="18" spans="2:10">
      <c r="C18" s="85" t="s">
        <v>205</v>
      </c>
      <c r="D18" s="92">
        <v>1</v>
      </c>
      <c r="E18" s="89" t="s">
        <v>181</v>
      </c>
    </row>
    <row r="19" spans="2:10">
      <c r="C19" s="94" t="s">
        <v>206</v>
      </c>
      <c r="D19" s="92" t="s">
        <v>207</v>
      </c>
      <c r="E19" s="89" t="s">
        <v>181</v>
      </c>
    </row>
    <row r="20" spans="2:10">
      <c r="C20" s="94" t="s">
        <v>208</v>
      </c>
      <c r="D20" s="92" t="s">
        <v>442</v>
      </c>
      <c r="E20" s="89" t="s">
        <v>181</v>
      </c>
    </row>
    <row r="21" spans="2:10">
      <c r="C21" s="94" t="s">
        <v>209</v>
      </c>
      <c r="D21" s="95">
        <v>0</v>
      </c>
      <c r="E21" s="89" t="s">
        <v>210</v>
      </c>
    </row>
    <row r="23" spans="2:10" ht="48">
      <c r="B23" s="96" t="s">
        <v>211</v>
      </c>
      <c r="C23" s="97" t="s">
        <v>212</v>
      </c>
      <c r="D23" s="97" t="s">
        <v>213</v>
      </c>
      <c r="E23" s="97" t="s">
        <v>214</v>
      </c>
      <c r="F23" s="97" t="s">
        <v>215</v>
      </c>
      <c r="G23" s="97" t="s">
        <v>216</v>
      </c>
      <c r="H23" s="97" t="s">
        <v>217</v>
      </c>
      <c r="I23" s="98" t="s">
        <v>218</v>
      </c>
    </row>
    <row r="24" spans="2:10">
      <c r="B24" s="99" t="s">
        <v>219</v>
      </c>
      <c r="C24" s="100" t="s">
        <v>220</v>
      </c>
      <c r="D24" s="101" t="s">
        <v>221</v>
      </c>
      <c r="E24" s="102">
        <v>2</v>
      </c>
      <c r="F24" s="102">
        <v>8760</v>
      </c>
      <c r="G24" s="103">
        <f>IF($D$4="Alberta",(VLOOKUP(D24,'Emission Factors and Defaults'!$B$6:$E$12,2,0)),(IF($D$4="BC",(VLOOKUP(D24,'Emission Factors and Defaults'!$B$6:$E$12,3,0)),(VLOOKUP(D24,'Emission Factors and Defaults'!$B$6:$E$12,4,0)))))*E24*F24</f>
        <v>16073.849638963615</v>
      </c>
      <c r="H24" s="104" t="s">
        <v>201</v>
      </c>
      <c r="I24" s="101"/>
      <c r="J24" s="84" t="str">
        <f>IF(OR(E24="",E24=0),"Note this source is required by MiQ. Confirm this source is not applicable.","")</f>
        <v/>
      </c>
    </row>
    <row r="25" spans="2:10">
      <c r="B25" s="105" t="s">
        <v>219</v>
      </c>
      <c r="C25" s="106" t="s">
        <v>220</v>
      </c>
      <c r="D25" s="107" t="s">
        <v>222</v>
      </c>
      <c r="E25" s="108">
        <v>3</v>
      </c>
      <c r="F25" s="108">
        <v>8760</v>
      </c>
      <c r="G25" s="103">
        <f>IF($D$4="Alberta",(VLOOKUP(D25,'Emission Factors and Defaults'!$B$6:$E$12,2,0)),(IF($D$4="BC",(VLOOKUP(D25,'Emission Factors and Defaults'!$B$6:$E$12,3,0)),(VLOOKUP(D25,'Emission Factors and Defaults'!$B$6:$E$12,4,0)))))*E25*F25</f>
        <v>5060.2859974515077</v>
      </c>
      <c r="H25" s="109" t="s">
        <v>201</v>
      </c>
      <c r="I25" s="107"/>
      <c r="J25" s="84" t="str">
        <f>IF(OR(E25="",E25=0),"Note this source is required by MiQ. Confirm this source is not applicable.","")</f>
        <v/>
      </c>
    </row>
    <row r="26" spans="2:10">
      <c r="B26" s="105" t="s">
        <v>219</v>
      </c>
      <c r="C26" s="106" t="s">
        <v>220</v>
      </c>
      <c r="D26" s="107" t="s">
        <v>223</v>
      </c>
      <c r="E26" s="108">
        <v>400</v>
      </c>
      <c r="F26" s="108">
        <v>8760</v>
      </c>
      <c r="G26" s="103">
        <f>IF($D$4="Alberta",(VLOOKUP(D26,'Emission Factors and Defaults'!$B$6:$E$12,2,0)),(IF($D$4="BC",(VLOOKUP(D26,'Emission Factors and Defaults'!$B$6:$E$12,3,0)),(VLOOKUP(D26,'Emission Factors and Defaults'!$B$6:$E$12,4,0)))))*E26*F26</f>
        <v>228208.97635565622</v>
      </c>
      <c r="H26" s="109" t="s">
        <v>201</v>
      </c>
      <c r="I26" s="107"/>
      <c r="J26" s="84" t="str">
        <f>IF(OR(E26="",E26=0),"Note this source is required by MiQ. Confirm this source is not applicable.","")</f>
        <v/>
      </c>
    </row>
    <row r="27" spans="2:10">
      <c r="B27" s="105" t="s">
        <v>224</v>
      </c>
      <c r="C27" s="106" t="s">
        <v>225</v>
      </c>
      <c r="D27" s="107" t="s">
        <v>226</v>
      </c>
      <c r="E27" s="108">
        <v>100</v>
      </c>
      <c r="F27" s="108">
        <v>8760</v>
      </c>
      <c r="G27" s="103">
        <f>IF($D$4="Alberta",(VLOOKUP(D27,'Emission Factors and Defaults'!$B$6:$E$12,2,0)),(IF($D$4="BC",(VLOOKUP(D27,'Emission Factors and Defaults'!$B$6:$E$12,3,0)),(VLOOKUP(D27,'Emission Factors and Defaults'!$B$6:$E$12,4,0)))))*E27*F27</f>
        <v>329910.80277502479</v>
      </c>
      <c r="H27" s="109" t="s">
        <v>201</v>
      </c>
      <c r="I27" s="107"/>
      <c r="J27" s="84" t="str">
        <f>IF(OR(E27="",E27=0),"Note this source is required by MiQ. Confirm this source is not applicable.","")</f>
        <v/>
      </c>
    </row>
    <row r="28" spans="2:10">
      <c r="B28" s="105" t="s">
        <v>227</v>
      </c>
      <c r="C28" s="106" t="s">
        <v>225</v>
      </c>
      <c r="D28" s="110" t="s">
        <v>228</v>
      </c>
      <c r="E28" s="108">
        <v>5</v>
      </c>
      <c r="F28" s="108">
        <v>8760</v>
      </c>
      <c r="G28" s="103">
        <f>IF($D$4="Alberta",(VLOOKUP(D28,'Emission Factors and Defaults'!$B$6:$E$12,2,0)),(IF($D$4="BC",(VLOOKUP(D28,'Emission Factors and Defaults'!$B$6:$E$12,3,0)),(VLOOKUP(D28,'Emission Factors and Defaults'!$B$6:$E$12,4,0)))))*E28*F28</f>
        <v>16495.540138751239</v>
      </c>
      <c r="H28" s="109" t="s">
        <v>201</v>
      </c>
      <c r="I28" s="107"/>
      <c r="J28" s="84" t="str">
        <f>IF(OR(E28="",E28=0),"Note this source is required by AB government. Use generic if unknown as generic pumps are required by MiQ at a minimum","")</f>
        <v/>
      </c>
    </row>
    <row r="29" spans="2:10">
      <c r="B29" s="105" t="s">
        <v>227</v>
      </c>
      <c r="C29" s="106" t="s">
        <v>225</v>
      </c>
      <c r="D29" s="110" t="s">
        <v>229</v>
      </c>
      <c r="E29" s="108">
        <v>40</v>
      </c>
      <c r="F29" s="108">
        <v>8760</v>
      </c>
      <c r="G29" s="103">
        <f>IF($D$4="Alberta",(VLOOKUP(D29,'Emission Factors and Defaults'!$B$6:$E$12,2,0)),(IF($D$4="BC",(VLOOKUP(D29,'Emission Factors and Defaults'!$B$6:$E$12,3,0)),(VLOOKUP(D29,'Emission Factors and Defaults'!$B$6:$E$12,4,0)))))*E29*F29</f>
        <v>131964.32111000991</v>
      </c>
      <c r="H29" s="109" t="s">
        <v>201</v>
      </c>
      <c r="I29" s="107"/>
      <c r="J29" s="84" t="str">
        <f>IF(OR(E29="",E29=0),"Note this source is required by AB government. Use generic if unknown as generic pumps are required by MiQ at a minimum","")</f>
        <v/>
      </c>
    </row>
    <row r="30" spans="2:10">
      <c r="B30" s="105" t="s">
        <v>219</v>
      </c>
      <c r="C30" s="106" t="s">
        <v>230</v>
      </c>
      <c r="D30" s="107" t="s">
        <v>231</v>
      </c>
      <c r="E30" s="108">
        <v>5</v>
      </c>
      <c r="F30" s="108">
        <v>8760</v>
      </c>
      <c r="G30" s="108">
        <v>2000000</v>
      </c>
      <c r="H30" s="108" t="s">
        <v>201</v>
      </c>
      <c r="I30" s="107"/>
      <c r="J30" s="84" t="str">
        <f t="shared" ref="J30:J43" si="0">IF(OR(E30="",E30=0),"Note this source is required by MiQ. Confirm this source is not applicable.","")</f>
        <v/>
      </c>
    </row>
    <row r="31" spans="2:10">
      <c r="B31" s="105" t="s">
        <v>219</v>
      </c>
      <c r="C31" s="106" t="s">
        <v>230</v>
      </c>
      <c r="D31" s="107" t="s">
        <v>232</v>
      </c>
      <c r="E31" s="108">
        <v>50</v>
      </c>
      <c r="F31" s="108">
        <v>8760</v>
      </c>
      <c r="G31" s="108">
        <v>2000000</v>
      </c>
      <c r="H31" s="108" t="s">
        <v>201</v>
      </c>
      <c r="I31" s="107"/>
      <c r="J31" s="84" t="str">
        <f t="shared" si="0"/>
        <v/>
      </c>
    </row>
    <row r="32" spans="2:10">
      <c r="B32" s="105" t="s">
        <v>219</v>
      </c>
      <c r="C32" s="106" t="s">
        <v>230</v>
      </c>
      <c r="D32" s="107" t="s">
        <v>233</v>
      </c>
      <c r="E32" s="108">
        <v>4</v>
      </c>
      <c r="F32" s="108">
        <v>8760</v>
      </c>
      <c r="G32" s="108">
        <v>2000000</v>
      </c>
      <c r="H32" s="108" t="s">
        <v>201</v>
      </c>
      <c r="I32" s="107"/>
      <c r="J32" s="84" t="str">
        <f t="shared" si="0"/>
        <v/>
      </c>
    </row>
    <row r="33" spans="2:10">
      <c r="B33" s="105" t="s">
        <v>219</v>
      </c>
      <c r="C33" s="106" t="s">
        <v>230</v>
      </c>
      <c r="D33" s="107" t="s">
        <v>234</v>
      </c>
      <c r="E33" s="108">
        <v>1</v>
      </c>
      <c r="F33" s="108">
        <v>8760</v>
      </c>
      <c r="G33" s="108">
        <v>1000000</v>
      </c>
      <c r="H33" s="108" t="s">
        <v>201</v>
      </c>
      <c r="I33" s="107"/>
      <c r="J33" s="84" t="str">
        <f t="shared" si="0"/>
        <v/>
      </c>
    </row>
    <row r="34" spans="2:10">
      <c r="B34" s="105" t="s">
        <v>219</v>
      </c>
      <c r="C34" s="106" t="s">
        <v>230</v>
      </c>
      <c r="D34" s="107" t="s">
        <v>235</v>
      </c>
      <c r="E34" s="108">
        <v>20</v>
      </c>
      <c r="F34" s="108">
        <v>8760</v>
      </c>
      <c r="G34" s="108">
        <v>1000000</v>
      </c>
      <c r="H34" s="108" t="s">
        <v>201</v>
      </c>
      <c r="I34" s="107"/>
      <c r="J34" s="84" t="str">
        <f t="shared" si="0"/>
        <v/>
      </c>
    </row>
    <row r="35" spans="2:10">
      <c r="B35" s="105" t="s">
        <v>219</v>
      </c>
      <c r="C35" s="106" t="s">
        <v>230</v>
      </c>
      <c r="D35" s="107" t="s">
        <v>236</v>
      </c>
      <c r="E35" s="108">
        <v>6</v>
      </c>
      <c r="F35" s="108">
        <v>8760</v>
      </c>
      <c r="G35" s="108">
        <v>1000000</v>
      </c>
      <c r="H35" s="108" t="s">
        <v>201</v>
      </c>
      <c r="I35" s="107"/>
      <c r="J35" s="84" t="str">
        <f t="shared" si="0"/>
        <v/>
      </c>
    </row>
    <row r="36" spans="2:10">
      <c r="B36" s="105" t="s">
        <v>219</v>
      </c>
      <c r="C36" s="106" t="s">
        <v>237</v>
      </c>
      <c r="D36" s="110" t="s">
        <v>238</v>
      </c>
      <c r="E36" s="108">
        <v>7</v>
      </c>
      <c r="F36" s="108">
        <v>8760</v>
      </c>
      <c r="G36" s="108">
        <v>200</v>
      </c>
      <c r="H36" s="108" t="s">
        <v>201</v>
      </c>
      <c r="I36" s="107"/>
      <c r="J36" s="84" t="str">
        <f t="shared" si="0"/>
        <v/>
      </c>
    </row>
    <row r="37" spans="2:10">
      <c r="B37" s="105" t="s">
        <v>219</v>
      </c>
      <c r="C37" s="106" t="s">
        <v>239</v>
      </c>
      <c r="D37" s="110" t="s">
        <v>240</v>
      </c>
      <c r="E37" s="108">
        <v>20</v>
      </c>
      <c r="F37" s="108">
        <v>8760</v>
      </c>
      <c r="G37" s="111">
        <v>200</v>
      </c>
      <c r="H37" s="108" t="s">
        <v>201</v>
      </c>
      <c r="I37" s="107"/>
      <c r="J37" s="84" t="str">
        <f t="shared" si="0"/>
        <v/>
      </c>
    </row>
    <row r="38" spans="2:10">
      <c r="B38" s="105" t="s">
        <v>219</v>
      </c>
      <c r="C38" s="106" t="s">
        <v>241</v>
      </c>
      <c r="D38" s="110" t="s">
        <v>242</v>
      </c>
      <c r="E38" s="108">
        <v>20</v>
      </c>
      <c r="F38" s="108">
        <v>8760</v>
      </c>
      <c r="G38" s="112">
        <f>IF($D$4="Alberta",(VLOOKUP(D38,'Emission Factors and Defaults'!$B$14:$E$17,2,0)*E38*F38*'Emission Factors and Defaults'!$G$15),(IF($D$4="BC",(VLOOKUP(D38,'Emission Factors and Defaults'!$B$14:$E$17,3,0)*E38*F38*'Emission Factors and Defaults'!$G$15),(VLOOKUP(D38,'Emission Factors and Defaults'!$B$14:$E$17,4,0)*E38))))</f>
        <v>5368.8234461277079</v>
      </c>
      <c r="H38" s="109" t="s">
        <v>201</v>
      </c>
      <c r="I38" s="107"/>
      <c r="J38" s="84" t="str">
        <f t="shared" si="0"/>
        <v/>
      </c>
    </row>
    <row r="39" spans="2:10">
      <c r="B39" s="105" t="s">
        <v>219</v>
      </c>
      <c r="C39" s="106" t="s">
        <v>243</v>
      </c>
      <c r="D39" s="110" t="s">
        <v>244</v>
      </c>
      <c r="E39" s="108">
        <v>1</v>
      </c>
      <c r="F39" s="108">
        <v>8760</v>
      </c>
      <c r="G39" s="112">
        <f>IF($D$4="Alberta",(VLOOKUP(D39,'Emission Factors and Defaults'!$B$14:$E$17,2,0)*E39*F39*'Emission Factors and Defaults'!$G$15),(IF($D$4="BC",(VLOOKUP(D39,'Emission Factors and Defaults'!$B$14:$E$17,3,0)*E39*F39*'Emission Factors and Defaults'!$G$15),(VLOOKUP(D39,'Emission Factors and Defaults'!$B$14:$E$17,4,0)*E39))))</f>
        <v>339798.95228656381</v>
      </c>
      <c r="H39" s="109" t="s">
        <v>201</v>
      </c>
      <c r="I39" s="107"/>
      <c r="J39" s="84" t="str">
        <f t="shared" si="0"/>
        <v/>
      </c>
    </row>
    <row r="40" spans="2:10">
      <c r="B40" s="105" t="s">
        <v>452</v>
      </c>
      <c r="C40" s="106" t="s">
        <v>243</v>
      </c>
      <c r="D40" s="110" t="s">
        <v>245</v>
      </c>
      <c r="E40" s="108">
        <v>3</v>
      </c>
      <c r="F40" s="108">
        <v>8760</v>
      </c>
      <c r="G40" s="112">
        <f>IF($D$4="Alberta",(VLOOKUP(D40,'Emission Factors and Defaults'!$B$14:$E$17,2,0)*E40*F40*'Emission Factors and Defaults'!$G$15),(IF($D$4="BC",(VLOOKUP(D40,'Emission Factors and Defaults'!$B$14:$E$17,3,0)*E40*F40*'Emission Factors and Defaults'!$G$15),(VLOOKUP(D40,'Emission Factors and Defaults'!$B$14:$E$17,4,0)*E40))))</f>
        <v>125.67</v>
      </c>
      <c r="H40" s="109" t="s">
        <v>201</v>
      </c>
      <c r="I40" s="107"/>
      <c r="J40" s="84" t="str">
        <f t="shared" si="0"/>
        <v/>
      </c>
    </row>
    <row r="41" spans="2:10">
      <c r="B41" s="105" t="s">
        <v>219</v>
      </c>
      <c r="C41" s="106" t="s">
        <v>246</v>
      </c>
      <c r="D41" s="107" t="s">
        <v>247</v>
      </c>
      <c r="E41" s="108">
        <v>20</v>
      </c>
      <c r="F41" s="108">
        <v>8760</v>
      </c>
      <c r="G41" s="113">
        <f>E41*(IF($D$17="bbls",$D$16/6.289814,$D$16)*$D$6)</f>
        <v>1644076279.5211434</v>
      </c>
      <c r="H41" s="109" t="s">
        <v>201</v>
      </c>
      <c r="I41" s="107"/>
      <c r="J41" s="84" t="str">
        <f t="shared" si="0"/>
        <v/>
      </c>
    </row>
    <row r="42" spans="2:10">
      <c r="B42" s="105" t="s">
        <v>219</v>
      </c>
      <c r="C42" s="106" t="s">
        <v>116</v>
      </c>
      <c r="D42" s="107" t="s">
        <v>248</v>
      </c>
      <c r="E42" s="108">
        <v>10</v>
      </c>
      <c r="F42" s="108">
        <v>8760</v>
      </c>
      <c r="G42" s="108">
        <v>200</v>
      </c>
      <c r="H42" s="108" t="s">
        <v>201</v>
      </c>
      <c r="I42" s="107"/>
      <c r="J42" s="84" t="str">
        <f t="shared" si="0"/>
        <v/>
      </c>
    </row>
    <row r="43" spans="2:10">
      <c r="B43" s="105" t="s">
        <v>219</v>
      </c>
      <c r="C43" s="106" t="s">
        <v>249</v>
      </c>
      <c r="D43" s="107" t="s">
        <v>250</v>
      </c>
      <c r="E43" s="108">
        <v>230</v>
      </c>
      <c r="F43" s="108">
        <v>8760</v>
      </c>
      <c r="G43" s="113">
        <f>E43*(IF($D$17="bbls",$D$16/6.289814,$D$16)*$D$7)</f>
        <v>3781375442.8986297</v>
      </c>
      <c r="H43" s="109" t="s">
        <v>201</v>
      </c>
      <c r="I43" s="107"/>
      <c r="J43" s="84" t="str">
        <f t="shared" si="0"/>
        <v/>
      </c>
    </row>
    <row r="44" spans="2:10">
      <c r="B44" s="105" t="s">
        <v>251</v>
      </c>
      <c r="C44" s="106" t="s">
        <v>252</v>
      </c>
      <c r="D44" s="107" t="s">
        <v>253</v>
      </c>
      <c r="E44" s="108">
        <v>100</v>
      </c>
      <c r="F44" s="108">
        <v>8760</v>
      </c>
      <c r="G44" s="108">
        <v>10000</v>
      </c>
      <c r="H44" s="108" t="s">
        <v>201</v>
      </c>
      <c r="I44" s="107"/>
      <c r="J44" s="84" t="str">
        <f>IF(OR(E44="",E44=0),"Note this source may not be required by your regulatory jurisdiction but is required by MiQ","")</f>
        <v/>
      </c>
    </row>
    <row r="45" spans="2:10" ht="10.25" customHeight="1"/>
    <row r="46" spans="2:10" ht="48">
      <c r="B46" s="96" t="s">
        <v>211</v>
      </c>
      <c r="C46" s="97" t="s">
        <v>212</v>
      </c>
      <c r="D46" s="97" t="s">
        <v>254</v>
      </c>
      <c r="E46" s="97" t="s">
        <v>255</v>
      </c>
      <c r="F46" s="97" t="s">
        <v>256</v>
      </c>
      <c r="G46" s="97" t="s">
        <v>257</v>
      </c>
      <c r="H46" s="197" t="s">
        <v>218</v>
      </c>
      <c r="I46" s="198"/>
    </row>
    <row r="47" spans="2:10">
      <c r="B47" s="99" t="s">
        <v>219</v>
      </c>
      <c r="C47" s="100" t="s">
        <v>258</v>
      </c>
      <c r="D47" s="114" t="s">
        <v>259</v>
      </c>
      <c r="E47" s="102">
        <v>100</v>
      </c>
      <c r="F47" s="102">
        <v>200</v>
      </c>
      <c r="G47" s="102" t="s">
        <v>201</v>
      </c>
      <c r="H47" s="199" t="str">
        <f>IF(OR(E47="",E47=0),"Note this source is required by MiQ. Confirm this source is not applicable.","")</f>
        <v/>
      </c>
      <c r="I47" s="199"/>
    </row>
    <row r="48" spans="2:10">
      <c r="B48" s="105" t="s">
        <v>219</v>
      </c>
      <c r="C48" s="106" t="s">
        <v>260</v>
      </c>
      <c r="D48" s="110" t="s">
        <v>261</v>
      </c>
      <c r="E48" s="108">
        <v>100</v>
      </c>
      <c r="F48" s="108">
        <v>200</v>
      </c>
      <c r="G48" s="108" t="s">
        <v>201</v>
      </c>
      <c r="H48" s="194" t="str">
        <f t="shared" ref="H48:H58" si="1">IF(OR(E48="",E48=0),"Note this source is required by MiQ. Confirm this source is not applicable.","")</f>
        <v/>
      </c>
      <c r="I48" s="194"/>
    </row>
    <row r="49" spans="2:9">
      <c r="B49" s="105" t="s">
        <v>219</v>
      </c>
      <c r="C49" s="115" t="s">
        <v>262</v>
      </c>
      <c r="D49" s="110" t="s">
        <v>263</v>
      </c>
      <c r="E49" s="108">
        <v>100</v>
      </c>
      <c r="F49" s="108">
        <v>200</v>
      </c>
      <c r="G49" s="108" t="s">
        <v>201</v>
      </c>
      <c r="H49" s="194" t="str">
        <f t="shared" si="1"/>
        <v/>
      </c>
      <c r="I49" s="194"/>
    </row>
    <row r="50" spans="2:9">
      <c r="B50" s="105" t="s">
        <v>251</v>
      </c>
      <c r="C50" s="115" t="s">
        <v>264</v>
      </c>
      <c r="D50" s="110" t="s">
        <v>265</v>
      </c>
      <c r="E50" s="108">
        <v>100</v>
      </c>
      <c r="F50" s="108">
        <v>200</v>
      </c>
      <c r="G50" s="108" t="s">
        <v>201</v>
      </c>
      <c r="H50" s="194" t="str">
        <f t="shared" si="1"/>
        <v/>
      </c>
      <c r="I50" s="194"/>
    </row>
    <row r="51" spans="2:9">
      <c r="B51" s="105" t="s">
        <v>219</v>
      </c>
      <c r="C51" s="106" t="s">
        <v>134</v>
      </c>
      <c r="D51" s="110" t="s">
        <v>266</v>
      </c>
      <c r="E51" s="108">
        <v>200</v>
      </c>
      <c r="F51" s="108">
        <v>280</v>
      </c>
      <c r="G51" s="108" t="s">
        <v>201</v>
      </c>
      <c r="H51" s="194" t="str">
        <f t="shared" si="1"/>
        <v/>
      </c>
      <c r="I51" s="194"/>
    </row>
    <row r="52" spans="2:9">
      <c r="B52" s="105" t="s">
        <v>219</v>
      </c>
      <c r="C52" s="106" t="s">
        <v>267</v>
      </c>
      <c r="D52" s="110" t="s">
        <v>268</v>
      </c>
      <c r="E52" s="108">
        <v>1</v>
      </c>
      <c r="F52" s="113">
        <f>E52*(IF($D$17="bbls",$D$16/6.289814,$D$16)*$D$6)</f>
        <v>82203813.976057172</v>
      </c>
      <c r="G52" s="109" t="s">
        <v>201</v>
      </c>
      <c r="H52" s="194" t="str">
        <f t="shared" si="1"/>
        <v/>
      </c>
      <c r="I52" s="194"/>
    </row>
    <row r="53" spans="2:9">
      <c r="B53" s="105" t="s">
        <v>219</v>
      </c>
      <c r="C53" s="115" t="s">
        <v>49</v>
      </c>
      <c r="D53" s="110" t="s">
        <v>49</v>
      </c>
      <c r="E53" s="108">
        <v>40</v>
      </c>
      <c r="F53" s="113">
        <f>E53*(IF($D$17="bbls",$D$16/6.289814,$D$16)*$D$6)</f>
        <v>3288152559.0422869</v>
      </c>
      <c r="G53" s="109" t="s">
        <v>201</v>
      </c>
      <c r="H53" s="194" t="str">
        <f t="shared" si="1"/>
        <v/>
      </c>
      <c r="I53" s="194"/>
    </row>
    <row r="54" spans="2:9">
      <c r="B54" s="105" t="s">
        <v>219</v>
      </c>
      <c r="C54" s="106" t="s">
        <v>269</v>
      </c>
      <c r="D54" s="110" t="s">
        <v>270</v>
      </c>
      <c r="E54" s="108">
        <v>40</v>
      </c>
      <c r="F54" s="108">
        <v>200</v>
      </c>
      <c r="G54" s="108" t="s">
        <v>201</v>
      </c>
      <c r="H54" s="194" t="str">
        <f t="shared" si="1"/>
        <v/>
      </c>
      <c r="I54" s="194"/>
    </row>
    <row r="55" spans="2:9">
      <c r="B55" s="105" t="s">
        <v>219</v>
      </c>
      <c r="C55" s="106" t="s">
        <v>271</v>
      </c>
      <c r="D55" s="110" t="s">
        <v>272</v>
      </c>
      <c r="E55" s="108">
        <v>1</v>
      </c>
      <c r="F55" s="108">
        <v>200</v>
      </c>
      <c r="G55" s="108" t="s">
        <v>201</v>
      </c>
      <c r="H55" s="194" t="str">
        <f t="shared" si="1"/>
        <v/>
      </c>
      <c r="I55" s="194"/>
    </row>
    <row r="56" spans="2:9">
      <c r="B56" s="105" t="s">
        <v>251</v>
      </c>
      <c r="C56" s="106" t="s">
        <v>273</v>
      </c>
      <c r="D56" s="106" t="s">
        <v>273</v>
      </c>
      <c r="E56" s="108">
        <v>400</v>
      </c>
      <c r="F56" s="108">
        <v>200</v>
      </c>
      <c r="G56" s="108" t="s">
        <v>201</v>
      </c>
      <c r="H56" s="194" t="str">
        <f t="shared" si="1"/>
        <v/>
      </c>
      <c r="I56" s="194"/>
    </row>
    <row r="57" spans="2:9">
      <c r="B57" s="105" t="s">
        <v>251</v>
      </c>
      <c r="C57" s="106" t="s">
        <v>274</v>
      </c>
      <c r="D57" s="106" t="s">
        <v>275</v>
      </c>
      <c r="E57" s="108">
        <v>20</v>
      </c>
      <c r="F57" s="108">
        <v>200</v>
      </c>
      <c r="G57" s="108" t="s">
        <v>201</v>
      </c>
      <c r="H57" s="194" t="str">
        <f t="shared" si="1"/>
        <v/>
      </c>
      <c r="I57" s="194"/>
    </row>
    <row r="58" spans="2:9">
      <c r="B58" s="105" t="s">
        <v>251</v>
      </c>
      <c r="C58" s="106" t="s">
        <v>276</v>
      </c>
      <c r="D58" s="106" t="s">
        <v>277</v>
      </c>
      <c r="E58" s="108">
        <v>10</v>
      </c>
      <c r="F58" s="108">
        <v>200</v>
      </c>
      <c r="G58" s="108" t="s">
        <v>201</v>
      </c>
      <c r="H58" s="194" t="str">
        <f t="shared" si="1"/>
        <v/>
      </c>
      <c r="I58" s="194"/>
    </row>
    <row r="60" spans="2:9" ht="48">
      <c r="B60" s="96" t="s">
        <v>211</v>
      </c>
      <c r="C60" s="97" t="s">
        <v>212</v>
      </c>
      <c r="D60" s="97" t="s">
        <v>278</v>
      </c>
      <c r="E60" s="97" t="s">
        <v>279</v>
      </c>
      <c r="F60" s="97" t="s">
        <v>280</v>
      </c>
      <c r="G60" s="97" t="s">
        <v>281</v>
      </c>
      <c r="H60" s="97" t="s">
        <v>282</v>
      </c>
      <c r="I60" s="98" t="s">
        <v>218</v>
      </c>
    </row>
    <row r="61" spans="2:9">
      <c r="B61" s="99" t="s">
        <v>219</v>
      </c>
      <c r="C61" s="100" t="s">
        <v>283</v>
      </c>
      <c r="D61" s="101" t="s">
        <v>284</v>
      </c>
      <c r="E61" s="116">
        <v>200</v>
      </c>
      <c r="F61" s="116">
        <v>8760</v>
      </c>
      <c r="G61" s="104">
        <f>IF(AND($D$4="US", $D$19="Surveys Performed"),VLOOKUP($D$4,'Fugitives Profiles'!$B$6:$F$6,2,0),VLOOKUP($D$4,'Fugitives Profiles'!$B$2:$F$5,2,0))</f>
        <v>9.9108027750247782E-2</v>
      </c>
      <c r="H61" s="99" t="s">
        <v>285</v>
      </c>
      <c r="I61" s="101"/>
    </row>
    <row r="62" spans="2:9">
      <c r="B62" s="105" t="s">
        <v>219</v>
      </c>
      <c r="C62" s="106" t="s">
        <v>283</v>
      </c>
      <c r="D62" s="107" t="s">
        <v>286</v>
      </c>
      <c r="E62" s="117">
        <v>200</v>
      </c>
      <c r="F62" s="117">
        <v>8760</v>
      </c>
      <c r="G62" s="104">
        <f>IF(AND($D$4="US", $D$19="Surveys Performed"),VLOOKUP($D$4,'Fugitives Profiles'!$B$6:$F$6,3,0),VLOOKUP($D$4,'Fugitives Profiles'!$B$2:$F$5,3,0))</f>
        <v>2.265326348577092E-2</v>
      </c>
      <c r="H62" s="105" t="s">
        <v>285</v>
      </c>
      <c r="I62" s="107"/>
    </row>
    <row r="63" spans="2:9">
      <c r="B63" s="105" t="s">
        <v>219</v>
      </c>
      <c r="C63" s="106" t="s">
        <v>283</v>
      </c>
      <c r="D63" s="107" t="s">
        <v>287</v>
      </c>
      <c r="E63" s="117">
        <v>200</v>
      </c>
      <c r="F63" s="117">
        <v>8760</v>
      </c>
      <c r="G63" s="104">
        <f>IF(AND($D$4="US", $D$19="Surveys Performed"),VLOOKUP($D$4,'Fugitives Profiles'!$B$6:$F$6,4,0),VLOOKUP($D$4,'Fugitives Profiles'!$B$2:$F$5,4,0))</f>
        <v>5.3801500778705935E-2</v>
      </c>
      <c r="H63" s="105" t="s">
        <v>285</v>
      </c>
      <c r="I63" s="107"/>
    </row>
    <row r="64" spans="2:9">
      <c r="B64" s="105" t="s">
        <v>219</v>
      </c>
      <c r="C64" s="106" t="s">
        <v>283</v>
      </c>
      <c r="D64" s="107" t="s">
        <v>288</v>
      </c>
      <c r="E64" s="117">
        <v>200</v>
      </c>
      <c r="F64" s="117">
        <v>8760</v>
      </c>
      <c r="G64" s="104">
        <f>IF(AND($D$4="US", $D$19="Surveys Performed"),VLOOKUP($D$4,'Fugitives Profiles'!$B$6:$F$6,5,0),VLOOKUP($D$4,'Fugitives Profiles'!$B$2:$F$5,5,0))</f>
        <v>7.9286422200198214E-2</v>
      </c>
      <c r="H64" s="105" t="s">
        <v>285</v>
      </c>
      <c r="I64" s="107"/>
    </row>
    <row r="66" spans="2:9" ht="48">
      <c r="B66" s="96" t="s">
        <v>211</v>
      </c>
      <c r="C66" s="97" t="s">
        <v>212</v>
      </c>
      <c r="D66" s="97" t="s">
        <v>289</v>
      </c>
      <c r="E66" s="97" t="s">
        <v>290</v>
      </c>
      <c r="F66" s="97" t="s">
        <v>291</v>
      </c>
      <c r="G66" s="97" t="s">
        <v>257</v>
      </c>
      <c r="H66" s="97" t="s">
        <v>292</v>
      </c>
      <c r="I66" s="98" t="s">
        <v>293</v>
      </c>
    </row>
    <row r="67" spans="2:9">
      <c r="B67" s="99" t="s">
        <v>294</v>
      </c>
      <c r="C67" s="100" t="s">
        <v>295</v>
      </c>
      <c r="D67" s="118"/>
      <c r="E67" s="118"/>
      <c r="F67" s="118"/>
      <c r="G67" s="102" t="s">
        <v>201</v>
      </c>
      <c r="H67" s="118"/>
      <c r="I67" s="118"/>
    </row>
    <row r="68" spans="2:9">
      <c r="B68" s="107"/>
      <c r="C68" s="119" t="s">
        <v>296</v>
      </c>
      <c r="D68" s="120"/>
      <c r="E68" s="120"/>
      <c r="F68" s="120"/>
      <c r="G68" s="121" t="s">
        <v>201</v>
      </c>
      <c r="H68" s="122"/>
      <c r="I68" s="120"/>
    </row>
    <row r="69" spans="2:9" ht="18" customHeight="1">
      <c r="B69" s="123" t="s">
        <v>297</v>
      </c>
      <c r="C69" s="124"/>
      <c r="D69" s="124"/>
      <c r="E69" s="124"/>
      <c r="F69" s="124"/>
      <c r="G69" s="124"/>
      <c r="H69" s="124"/>
      <c r="I69" s="125">
        <f>SUM(I67:I68)</f>
        <v>0</v>
      </c>
    </row>
  </sheetData>
  <sheetProtection sheet="1" objects="1" scenarios="1" selectLockedCells="1"/>
  <mergeCells count="16">
    <mergeCell ref="C3:D3"/>
    <mergeCell ref="G3:H3"/>
    <mergeCell ref="G9:H9"/>
    <mergeCell ref="H46:I46"/>
    <mergeCell ref="H47:I47"/>
    <mergeCell ref="H48:I48"/>
    <mergeCell ref="H49:I49"/>
    <mergeCell ref="H50:I50"/>
    <mergeCell ref="H51:I51"/>
    <mergeCell ref="H52:I52"/>
    <mergeCell ref="H58:I58"/>
    <mergeCell ref="H53:I53"/>
    <mergeCell ref="H54:I54"/>
    <mergeCell ref="H55:I55"/>
    <mergeCell ref="H56:I56"/>
    <mergeCell ref="H57:I57"/>
  </mergeCells>
  <phoneticPr fontId="3" type="noConversion"/>
  <dataValidations count="8">
    <dataValidation type="list" allowBlank="1" showInputMessage="1" showErrorMessage="1" sqref="D4" xr:uid="{F87F2ECC-5494-42BF-85E5-5EFACD78B11E}">
      <formula1>"Alberta,BC,US"</formula1>
    </dataValidation>
    <dataValidation type="list" allowBlank="1" showInputMessage="1" showErrorMessage="1" sqref="D5" xr:uid="{4FF74346-4695-4D1E-9B54-313EA43688B7}">
      <formula1>"Heavy Oil, Conventional Oil, Wet Gas, Dry Gas"</formula1>
    </dataValidation>
    <dataValidation type="list" allowBlank="1" showInputMessage="1" showErrorMessage="1" sqref="D15 H24:H44 G67:G68 G47:G58" xr:uid="{B9E2C329-AAFE-4B71-8145-BE51C8E1CDF7}">
      <formula1>"scf, m3"</formula1>
    </dataValidation>
    <dataValidation type="list" allowBlank="1" showInputMessage="1" showErrorMessage="1" sqref="D18" xr:uid="{89A9EE0F-D6C8-4BD9-9FB3-96833C55F653}">
      <formula1>"1, 3, 4"</formula1>
    </dataValidation>
    <dataValidation type="list" allowBlank="1" showInputMessage="1" showErrorMessage="1" sqref="H67:H68" xr:uid="{EAE58472-67D5-4390-86D2-D7AF97DD899B}">
      <formula1>"Fuel, Flare, Vent, Fugitives"</formula1>
    </dataValidation>
    <dataValidation type="list" allowBlank="1" showInputMessage="1" showErrorMessage="1" sqref="D19" xr:uid="{CD57C367-3AE8-4E69-8D40-86734AD59D76}">
      <formula1>"Component Counts, Surveys Performed"</formula1>
    </dataValidation>
    <dataValidation type="list" allowBlank="1" showInputMessage="1" showErrorMessage="1" sqref="D20" xr:uid="{86C1B187-8717-4232-AA93-4A735CF64E6A}">
      <formula1>"V0.9, V1.0"</formula1>
    </dataValidation>
    <dataValidation type="list" allowBlank="1" showInputMessage="1" showErrorMessage="1" sqref="D17" xr:uid="{4E0D98A8-8362-4749-A3DD-609F39718342}">
      <formula1>"bbls, m3"</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3ECA-0DAB-41E0-9E03-2D8328188E77}">
  <dimension ref="B1:H50"/>
  <sheetViews>
    <sheetView topLeftCell="A4" workbookViewId="0">
      <selection activeCell="C25" sqref="C25"/>
    </sheetView>
  </sheetViews>
  <sheetFormatPr baseColWidth="10" defaultColWidth="8.83203125" defaultRowHeight="15"/>
  <cols>
    <col min="1" max="1" width="2.6640625" style="84" customWidth="1"/>
    <col min="2" max="2" width="16.1640625" style="84" customWidth="1"/>
    <col min="3" max="3" width="40.5" style="84" bestFit="1" customWidth="1"/>
    <col min="4" max="4" width="33.33203125" style="84" customWidth="1"/>
    <col min="5" max="5" width="66.1640625" style="84" bestFit="1" customWidth="1"/>
    <col min="6" max="6" width="23.33203125" style="84" customWidth="1"/>
    <col min="7" max="7" width="16.5" style="84" bestFit="1" customWidth="1"/>
    <col min="8" max="8" width="149.33203125" style="84" customWidth="1"/>
    <col min="9" max="16384" width="8.83203125" style="84"/>
  </cols>
  <sheetData>
    <row r="1" spans="2:8" ht="7.25" customHeight="1"/>
    <row r="2" spans="2:8">
      <c r="C2" s="200" t="s">
        <v>178</v>
      </c>
      <c r="D2" s="198"/>
    </row>
    <row r="3" spans="2:8">
      <c r="C3" s="132" t="s">
        <v>189</v>
      </c>
      <c r="D3" s="133">
        <f>'Inputs and Outputs'!$D$8</f>
        <v>0.73</v>
      </c>
    </row>
    <row r="4" spans="2:8">
      <c r="C4" s="132" t="s">
        <v>190</v>
      </c>
      <c r="D4" s="133">
        <f>'Inputs and Outputs'!$D$9</f>
        <v>0.1</v>
      </c>
    </row>
    <row r="5" spans="2:8">
      <c r="C5" s="132" t="s">
        <v>298</v>
      </c>
      <c r="D5" s="133">
        <f>'Inputs and Outputs'!$D$10</f>
        <v>46</v>
      </c>
    </row>
    <row r="6" spans="2:8">
      <c r="C6" s="132" t="s">
        <v>299</v>
      </c>
      <c r="D6" s="133">
        <v>0.67849999999999999</v>
      </c>
    </row>
    <row r="8" spans="2:8">
      <c r="B8" s="134"/>
      <c r="C8" s="200" t="s">
        <v>300</v>
      </c>
      <c r="D8" s="198"/>
      <c r="E8" s="135"/>
      <c r="F8" s="135"/>
      <c r="G8" s="135"/>
      <c r="H8" s="136"/>
    </row>
    <row r="9" spans="2:8" ht="18" customHeight="1">
      <c r="B9" s="137" t="s">
        <v>301</v>
      </c>
      <c r="C9" s="137" t="s">
        <v>302</v>
      </c>
      <c r="D9" s="137" t="s">
        <v>303</v>
      </c>
      <c r="E9" s="138" t="s">
        <v>304</v>
      </c>
      <c r="F9" s="139" t="s">
        <v>305</v>
      </c>
      <c r="G9" s="139" t="s">
        <v>306</v>
      </c>
      <c r="H9" s="140" t="s">
        <v>307</v>
      </c>
    </row>
    <row r="10" spans="2:8">
      <c r="B10" s="101" t="s">
        <v>44</v>
      </c>
      <c r="C10" s="101" t="s">
        <v>221</v>
      </c>
      <c r="D10" s="153">
        <f>IF('Inputs and Outputs'!H24="scf",'Inputs and Outputs'!G24/35.315,'Inputs and Outputs'!G24)*$D$3*$D$6*0.001</f>
        <v>7.961458095426873</v>
      </c>
      <c r="E10" s="141" t="s">
        <v>308</v>
      </c>
      <c r="F10" s="142" t="s">
        <v>309</v>
      </c>
      <c r="G10" s="142" t="s">
        <v>310</v>
      </c>
      <c r="H10" s="143" t="s">
        <v>311</v>
      </c>
    </row>
    <row r="11" spans="2:8">
      <c r="B11" s="107" t="s">
        <v>44</v>
      </c>
      <c r="C11" s="107" t="s">
        <v>222</v>
      </c>
      <c r="D11" s="153">
        <f>IF('Inputs and Outputs'!H25="scf",'Inputs and Outputs'!G25/35.315,'Inputs and Outputs'!G25)*$D$3*$D$6*0.001</f>
        <v>2.5063849559677189</v>
      </c>
      <c r="E11" s="141" t="s">
        <v>308</v>
      </c>
      <c r="F11" s="142" t="s">
        <v>309</v>
      </c>
      <c r="G11" s="142" t="s">
        <v>310</v>
      </c>
      <c r="H11" s="143" t="s">
        <v>311</v>
      </c>
    </row>
    <row r="12" spans="2:8">
      <c r="B12" s="107" t="s">
        <v>44</v>
      </c>
      <c r="C12" s="107" t="s">
        <v>223</v>
      </c>
      <c r="D12" s="153">
        <f>IF('Inputs and Outputs'!H26="scf",'Inputs and Outputs'!G26/35.315,'Inputs and Outputs'!G26)*$D$3*$D$6*0.001</f>
        <v>113.03304703383829</v>
      </c>
      <c r="E12" s="141" t="s">
        <v>308</v>
      </c>
      <c r="F12" s="142" t="s">
        <v>309</v>
      </c>
      <c r="G12" s="142" t="s">
        <v>310</v>
      </c>
      <c r="H12" s="143" t="s">
        <v>311</v>
      </c>
    </row>
    <row r="13" spans="2:8">
      <c r="B13" s="107" t="s">
        <v>44</v>
      </c>
      <c r="C13" s="107" t="s">
        <v>226</v>
      </c>
      <c r="D13" s="153">
        <f>IF('Inputs and Outputs'!H27="scf",'Inputs and Outputs'!G27/35.315,'Inputs and Outputs'!G27)*$D$3*$D$6*0.001</f>
        <v>163.40647016848365</v>
      </c>
      <c r="E13" s="141" t="s">
        <v>308</v>
      </c>
      <c r="F13" s="142" t="s">
        <v>309</v>
      </c>
      <c r="G13" s="142" t="s">
        <v>310</v>
      </c>
      <c r="H13" s="142" t="s">
        <v>312</v>
      </c>
    </row>
    <row r="14" spans="2:8">
      <c r="B14" s="110" t="s">
        <v>44</v>
      </c>
      <c r="C14" s="110" t="s">
        <v>228</v>
      </c>
      <c r="D14" s="153">
        <f>IF('Inputs and Outputs'!H28="scf",'Inputs and Outputs'!G28/35.315,'Inputs and Outputs'!G28)*$D$3*$D$6*0.001</f>
        <v>8.1703235084241825</v>
      </c>
      <c r="E14" s="141" t="s">
        <v>308</v>
      </c>
      <c r="F14" s="142" t="s">
        <v>309</v>
      </c>
      <c r="G14" s="142" t="s">
        <v>310</v>
      </c>
      <c r="H14" s="142" t="s">
        <v>313</v>
      </c>
    </row>
    <row r="15" spans="2:8">
      <c r="B15" s="110" t="s">
        <v>44</v>
      </c>
      <c r="C15" s="110" t="s">
        <v>229</v>
      </c>
      <c r="D15" s="153">
        <f>IF('Inputs and Outputs'!H29="scf",'Inputs and Outputs'!G29/35.315,'Inputs and Outputs'!G29)*$D$3*$D$6*0.001</f>
        <v>65.36258806739346</v>
      </c>
      <c r="E15" s="141" t="s">
        <v>308</v>
      </c>
      <c r="F15" s="142" t="s">
        <v>309</v>
      </c>
      <c r="G15" s="142" t="s">
        <v>310</v>
      </c>
      <c r="H15" s="142" t="s">
        <v>313</v>
      </c>
    </row>
    <row r="16" spans="2:8">
      <c r="B16" s="144" t="s">
        <v>314</v>
      </c>
      <c r="C16" s="144" t="s">
        <v>231</v>
      </c>
      <c r="D16" s="154">
        <f>IF('Inputs and Outputs'!H30="scf",'Inputs and Outputs'!G30/35.315,'Inputs and Outputs'!G30)*(VLOOKUP(C16,'Emission Factors and Defaults'!$B$20:$C$24,2,0))*('Inputs and Outputs'!$D$10/1000)</f>
        <v>49.403999999999996</v>
      </c>
      <c r="E16" s="145" t="s">
        <v>315</v>
      </c>
      <c r="F16" s="146" t="s">
        <v>316</v>
      </c>
      <c r="G16" s="146" t="s">
        <v>317</v>
      </c>
      <c r="H16" s="146" t="s">
        <v>318</v>
      </c>
    </row>
    <row r="17" spans="2:8">
      <c r="B17" s="144" t="s">
        <v>314</v>
      </c>
      <c r="C17" s="144" t="s">
        <v>232</v>
      </c>
      <c r="D17" s="154">
        <f>IF('Inputs and Outputs'!H31="scf",'Inputs and Outputs'!G31/35.315,'Inputs and Outputs'!G31)*(VLOOKUP(C17,'Emission Factors and Defaults'!$B$20:$C$24,2,0))*('Inputs and Outputs'!$D$10/1000)</f>
        <v>9.0988000000000007</v>
      </c>
      <c r="E17" s="145" t="s">
        <v>315</v>
      </c>
      <c r="F17" s="146" t="s">
        <v>316</v>
      </c>
      <c r="G17" s="146" t="s">
        <v>317</v>
      </c>
      <c r="H17" s="146" t="s">
        <v>318</v>
      </c>
    </row>
    <row r="18" spans="2:8">
      <c r="B18" s="144" t="s">
        <v>314</v>
      </c>
      <c r="C18" s="144" t="s">
        <v>233</v>
      </c>
      <c r="D18" s="154">
        <f>IF('Inputs and Outputs'!H32="scf",'Inputs and Outputs'!G32/35.315,'Inputs and Outputs'!G32)*(VLOOKUP(C18,'Emission Factors and Defaults'!$B$20:$C$24,2,0))*('Inputs and Outputs'!$D$10/1000)</f>
        <v>57.316000000000003</v>
      </c>
      <c r="E18" s="145" t="s">
        <v>315</v>
      </c>
      <c r="F18" s="146" t="s">
        <v>316</v>
      </c>
      <c r="G18" s="146" t="s">
        <v>317</v>
      </c>
      <c r="H18" s="146" t="s">
        <v>318</v>
      </c>
    </row>
    <row r="19" spans="2:8">
      <c r="B19" s="144" t="s">
        <v>44</v>
      </c>
      <c r="C19" s="144" t="s">
        <v>319</v>
      </c>
      <c r="D19" s="154">
        <f>IF('Inputs and Outputs'!H33="scf",'Inputs and Outputs'!G33/35.315,'Inputs and Outputs'!G33)*(VLOOKUP(C19,'Emission Factors and Defaults'!$B$20:$C$24,2,0))*('Inputs and Outputs'!$D$10/1000)</f>
        <v>4.462E-2</v>
      </c>
      <c r="E19" s="145" t="s">
        <v>315</v>
      </c>
      <c r="F19" s="146" t="s">
        <v>316</v>
      </c>
      <c r="G19" s="146" t="s">
        <v>317</v>
      </c>
      <c r="H19" s="146" t="s">
        <v>318</v>
      </c>
    </row>
    <row r="20" spans="2:8">
      <c r="B20" s="144" t="s">
        <v>44</v>
      </c>
      <c r="C20" s="144" t="s">
        <v>235</v>
      </c>
      <c r="D20" s="154">
        <f>IF('Inputs and Outputs'!H34="scf",'Inputs and Outputs'!G34/35.315,'Inputs and Outputs'!G34)*(VLOOKUP(C20,'Emission Factors and Defaults'!$B$20:$C$25,2,0))*('Inputs and Outputs'!$D$10/1000)</f>
        <v>0.17020000000000002</v>
      </c>
      <c r="E20" s="145" t="s">
        <v>315</v>
      </c>
      <c r="F20" s="146" t="s">
        <v>316</v>
      </c>
      <c r="G20" s="146" t="s">
        <v>317</v>
      </c>
      <c r="H20" s="146" t="s">
        <v>318</v>
      </c>
    </row>
    <row r="21" spans="2:8">
      <c r="B21" s="144" t="s">
        <v>44</v>
      </c>
      <c r="C21" s="144" t="s">
        <v>236</v>
      </c>
      <c r="D21" s="154">
        <f>IF('Inputs and Outputs'!H35="scf",'Inputs and Outputs'!G35/35.315,'Inputs and Outputs'!G35)*(VLOOKUP(C21,'Emission Factors and Defaults'!$B$20:$C$26,2,0))*('Inputs and Outputs'!$D$10/1000)</f>
        <v>24.701999999999998</v>
      </c>
      <c r="E21" s="145" t="s">
        <v>315</v>
      </c>
      <c r="F21" s="146" t="s">
        <v>316</v>
      </c>
      <c r="G21" s="146" t="s">
        <v>317</v>
      </c>
      <c r="H21" s="146" t="s">
        <v>320</v>
      </c>
    </row>
    <row r="22" spans="2:8">
      <c r="B22" s="110" t="s">
        <v>314</v>
      </c>
      <c r="C22" s="110" t="s">
        <v>238</v>
      </c>
      <c r="D22" s="153">
        <f>IF('Inputs and Outputs'!H36="scf",'Inputs and Outputs'!G36/35.315,'Inputs and Outputs'!G36)*$D$3*$D$6*0.001</f>
        <v>9.9060999999999996E-2</v>
      </c>
      <c r="E22" s="141" t="s">
        <v>321</v>
      </c>
      <c r="F22" s="142" t="s">
        <v>322</v>
      </c>
      <c r="G22" s="142" t="s">
        <v>323</v>
      </c>
      <c r="H22" s="142" t="s">
        <v>324</v>
      </c>
    </row>
    <row r="23" spans="2:8">
      <c r="B23" s="110" t="s">
        <v>314</v>
      </c>
      <c r="C23" s="110" t="s">
        <v>240</v>
      </c>
      <c r="D23" s="153">
        <f>IF('Inputs and Outputs'!H37="scf",'Inputs and Outputs'!G37/35.315,'Inputs and Outputs'!G37)*$D$3*$D$6*0.001</f>
        <v>9.9060999999999996E-2</v>
      </c>
      <c r="E23" s="141" t="s">
        <v>321</v>
      </c>
      <c r="F23" s="147"/>
      <c r="G23" s="142" t="s">
        <v>325</v>
      </c>
      <c r="H23" s="142" t="s">
        <v>326</v>
      </c>
    </row>
    <row r="24" spans="2:8">
      <c r="B24" s="110" t="s">
        <v>314</v>
      </c>
      <c r="C24" s="110" t="s">
        <v>242</v>
      </c>
      <c r="D24" s="153">
        <f>IF('Inputs and Outputs'!H38="scf",'Inputs and Outputs'!G38/35.315,'Inputs and Outputs'!G38)*$D$3*$D$6*0.001</f>
        <v>2.6592050969842846</v>
      </c>
      <c r="E24" s="141" t="s">
        <v>327</v>
      </c>
      <c r="F24" s="142" t="s">
        <v>450</v>
      </c>
      <c r="G24" s="142" t="s">
        <v>328</v>
      </c>
      <c r="H24" s="142" t="s">
        <v>329</v>
      </c>
    </row>
    <row r="25" spans="2:8">
      <c r="B25" s="110" t="s">
        <v>314</v>
      </c>
      <c r="C25" s="110" t="s">
        <v>244</v>
      </c>
      <c r="D25" s="153">
        <f>IF('Inputs and Outputs'!H39="scf",'Inputs and Outputs'!G39/35.315,'Inputs and Outputs'!G39)*$D$3*$D$6*0.001</f>
        <v>168.30412006229648</v>
      </c>
      <c r="E25" s="141" t="s">
        <v>330</v>
      </c>
      <c r="F25" s="142" t="s">
        <v>451</v>
      </c>
      <c r="G25" s="142" t="s">
        <v>328</v>
      </c>
      <c r="H25" s="142" t="s">
        <v>329</v>
      </c>
    </row>
    <row r="26" spans="2:8">
      <c r="B26" s="110" t="s">
        <v>314</v>
      </c>
      <c r="C26" s="110" t="s">
        <v>245</v>
      </c>
      <c r="D26" s="153">
        <f>IF('Inputs and Outputs'!H40="scf",'Inputs and Outputs'!G40/35.315,'Inputs and Outputs'!G40)*$D$3*$D$6*0.001</f>
        <v>6.2244979349999993E-2</v>
      </c>
      <c r="E26" s="141" t="s">
        <v>330</v>
      </c>
      <c r="F26" s="148" t="s">
        <v>456</v>
      </c>
      <c r="G26" s="142" t="s">
        <v>328</v>
      </c>
      <c r="H26" s="142" t="s">
        <v>329</v>
      </c>
    </row>
    <row r="27" spans="2:8">
      <c r="B27" s="107" t="s">
        <v>44</v>
      </c>
      <c r="C27" s="107" t="s">
        <v>247</v>
      </c>
      <c r="D27" s="153">
        <f>IF('Inputs and Outputs'!H41="scf",'Inputs and Outputs'!G41/35.315,'Inputs and Outputs'!G41)*'Emission Factors and Defaults'!$B$35*$D$3*$D$6*0.001</f>
        <v>798032.81759565556</v>
      </c>
      <c r="E27" s="141" t="s">
        <v>331</v>
      </c>
      <c r="F27" s="142" t="s">
        <v>332</v>
      </c>
      <c r="G27" s="142" t="s">
        <v>333</v>
      </c>
      <c r="H27" s="142" t="s">
        <v>334</v>
      </c>
    </row>
    <row r="28" spans="2:8">
      <c r="B28" s="107" t="s">
        <v>44</v>
      </c>
      <c r="C28" s="107" t="s">
        <v>248</v>
      </c>
      <c r="D28" s="153">
        <f>IF('Inputs and Outputs'!H42="scf",'Inputs and Outputs'!G42/35.315,'Inputs and Outputs'!G42)*'Emission Factors and Defaults'!$B$35*$D$3*$D$6*0.001</f>
        <v>9.7079779999999991E-2</v>
      </c>
      <c r="E28" s="141" t="s">
        <v>335</v>
      </c>
      <c r="F28" s="142" t="s">
        <v>336</v>
      </c>
      <c r="G28" s="142" t="s">
        <v>333</v>
      </c>
      <c r="H28" s="142" t="s">
        <v>337</v>
      </c>
    </row>
    <row r="29" spans="2:8">
      <c r="B29" s="107" t="s">
        <v>44</v>
      </c>
      <c r="C29" s="107" t="s">
        <v>338</v>
      </c>
      <c r="D29" s="153">
        <f>IF('Inputs and Outputs'!H43="scf",'Inputs and Outputs'!G43/35.315,'Inputs and Outputs'!G43)*$D$3*$D$6*0.001</f>
        <v>1872934.1637449057</v>
      </c>
      <c r="E29" s="141" t="s">
        <v>339</v>
      </c>
      <c r="F29" s="142" t="s">
        <v>340</v>
      </c>
      <c r="G29" s="149" t="s">
        <v>341</v>
      </c>
      <c r="H29" s="142" t="s">
        <v>342</v>
      </c>
    </row>
    <row r="30" spans="2:8">
      <c r="B30" s="107" t="s">
        <v>44</v>
      </c>
      <c r="C30" s="107" t="s">
        <v>253</v>
      </c>
      <c r="D30" s="153">
        <f>IF('Inputs and Outputs'!H44="scf",'Inputs and Outputs'!G44/35.315,'Inputs and Outputs'!G44)*$D$3*$D$6*0.001</f>
        <v>4.9530500000000002</v>
      </c>
      <c r="E30" s="141" t="s">
        <v>321</v>
      </c>
      <c r="F30" s="142" t="s">
        <v>340</v>
      </c>
      <c r="G30" s="149" t="s">
        <v>341</v>
      </c>
      <c r="H30" s="142" t="s">
        <v>342</v>
      </c>
    </row>
    <row r="31" spans="2:8">
      <c r="B31" s="150" t="s">
        <v>314</v>
      </c>
      <c r="C31" s="150" t="s">
        <v>259</v>
      </c>
      <c r="D31" s="154">
        <f>IF('Inputs and Outputs'!G47="scf",'Inputs and Outputs'!F47/35.315,'Inputs and Outputs'!F47)*$D$3*$D$6*0.001</f>
        <v>9.9060999999999996E-2</v>
      </c>
      <c r="E31" s="145" t="s">
        <v>343</v>
      </c>
      <c r="F31" s="146" t="s">
        <v>344</v>
      </c>
      <c r="G31" s="146" t="s">
        <v>345</v>
      </c>
      <c r="H31" s="146" t="s">
        <v>326</v>
      </c>
    </row>
    <row r="32" spans="2:8">
      <c r="B32" s="150" t="s">
        <v>44</v>
      </c>
      <c r="C32" s="150" t="s">
        <v>261</v>
      </c>
      <c r="D32" s="154">
        <f>IF('Inputs and Outputs'!G48="scf",'Inputs and Outputs'!F48/35.315,'Inputs and Outputs'!F48)*$D$3*$D$6*0.001</f>
        <v>9.9060999999999996E-2</v>
      </c>
      <c r="E32" s="145" t="s">
        <v>343</v>
      </c>
      <c r="F32" s="146" t="s">
        <v>344</v>
      </c>
      <c r="G32" s="146" t="s">
        <v>345</v>
      </c>
      <c r="H32" s="146" t="s">
        <v>326</v>
      </c>
    </row>
    <row r="33" spans="2:8">
      <c r="B33" s="150" t="s">
        <v>44</v>
      </c>
      <c r="C33" s="150" t="s">
        <v>263</v>
      </c>
      <c r="D33" s="154">
        <f>IF('Inputs and Outputs'!G49="scf",'Inputs and Outputs'!F49/35.315,'Inputs and Outputs'!F49)*$D$3*$D$6*0.001</f>
        <v>9.9060999999999996E-2</v>
      </c>
      <c r="E33" s="145" t="s">
        <v>343</v>
      </c>
      <c r="F33" s="146" t="s">
        <v>344</v>
      </c>
      <c r="G33" s="146" t="s">
        <v>345</v>
      </c>
      <c r="H33" s="146" t="s">
        <v>326</v>
      </c>
    </row>
    <row r="34" spans="2:8">
      <c r="B34" s="150" t="s">
        <v>44</v>
      </c>
      <c r="C34" s="150" t="s">
        <v>265</v>
      </c>
      <c r="D34" s="154">
        <f>IF('Inputs and Outputs'!G50="scf",'Inputs and Outputs'!F50/35.315,'Inputs and Outputs'!F50)*$D$3*$D$6*0.001</f>
        <v>9.9060999999999996E-2</v>
      </c>
      <c r="E34" s="145" t="s">
        <v>343</v>
      </c>
      <c r="F34" s="146"/>
      <c r="G34" s="146" t="s">
        <v>346</v>
      </c>
      <c r="H34" s="146" t="s">
        <v>326</v>
      </c>
    </row>
    <row r="35" spans="2:8">
      <c r="B35" s="150" t="s">
        <v>44</v>
      </c>
      <c r="C35" s="150" t="s">
        <v>266</v>
      </c>
      <c r="D35" s="154">
        <f>IF('Inputs and Outputs'!G51="scf",'Inputs and Outputs'!F51/35.315,'Inputs and Outputs'!F51)*$D$3*$D$6*0.001</f>
        <v>0.13868540000000001</v>
      </c>
      <c r="E35" s="145" t="s">
        <v>343</v>
      </c>
      <c r="F35" s="146" t="s">
        <v>347</v>
      </c>
      <c r="G35" s="146" t="s">
        <v>348</v>
      </c>
      <c r="H35" s="146" t="s">
        <v>326</v>
      </c>
    </row>
    <row r="36" spans="2:8">
      <c r="B36" s="150" t="s">
        <v>44</v>
      </c>
      <c r="C36" s="150" t="s">
        <v>268</v>
      </c>
      <c r="D36" s="154">
        <f>IF('Inputs and Outputs'!G52="scf",'Inputs and Outputs'!F52/35.315,'Inputs and Outputs'!F52)*$D$3*$D$6*0.001</f>
        <v>40715.960081410994</v>
      </c>
      <c r="E36" s="145" t="s">
        <v>349</v>
      </c>
      <c r="F36" s="146" t="s">
        <v>350</v>
      </c>
      <c r="G36" s="146" t="s">
        <v>351</v>
      </c>
      <c r="H36" s="146" t="s">
        <v>352</v>
      </c>
    </row>
    <row r="37" spans="2:8">
      <c r="B37" s="150" t="s">
        <v>44</v>
      </c>
      <c r="C37" s="150" t="s">
        <v>49</v>
      </c>
      <c r="D37" s="154">
        <f>IF('Inputs and Outputs'!G53="scf",'Inputs and Outputs'!F53/35.315,'Inputs and Outputs'!F53)*$D$3*$D$6*0.001</f>
        <v>1628638.4032564396</v>
      </c>
      <c r="E37" s="145" t="s">
        <v>353</v>
      </c>
      <c r="F37" s="146" t="s">
        <v>332</v>
      </c>
      <c r="G37" s="146" t="s">
        <v>351</v>
      </c>
      <c r="H37" s="146" t="s">
        <v>352</v>
      </c>
    </row>
    <row r="38" spans="2:8">
      <c r="B38" s="150" t="s">
        <v>44</v>
      </c>
      <c r="C38" s="150" t="s">
        <v>270</v>
      </c>
      <c r="D38" s="154">
        <f>IF('Inputs and Outputs'!G54="scf",'Inputs and Outputs'!F54/35.315,'Inputs and Outputs'!F54)*$D$3*$D$6*0.001</f>
        <v>9.9060999999999996E-2</v>
      </c>
      <c r="E38" s="145" t="s">
        <v>343</v>
      </c>
      <c r="F38" s="146" t="s">
        <v>354</v>
      </c>
      <c r="G38" s="146" t="s">
        <v>351</v>
      </c>
      <c r="H38" s="146" t="s">
        <v>326</v>
      </c>
    </row>
    <row r="39" spans="2:8">
      <c r="B39" s="150" t="s">
        <v>44</v>
      </c>
      <c r="C39" s="150" t="s">
        <v>272</v>
      </c>
      <c r="D39" s="154">
        <f>IF('Inputs and Outputs'!G55="scf",'Inputs and Outputs'!F55/35.315,'Inputs and Outputs'!F55)*$D$3*$D$6*0.001</f>
        <v>9.9060999999999996E-2</v>
      </c>
      <c r="E39" s="145" t="s">
        <v>343</v>
      </c>
      <c r="F39" s="146" t="s">
        <v>354</v>
      </c>
      <c r="G39" s="146" t="s">
        <v>351</v>
      </c>
      <c r="H39" s="146" t="s">
        <v>326</v>
      </c>
    </row>
    <row r="40" spans="2:8">
      <c r="B40" s="150" t="s">
        <v>314</v>
      </c>
      <c r="C40" s="150" t="s">
        <v>273</v>
      </c>
      <c r="D40" s="154">
        <f>IF('Inputs and Outputs'!G56="scf",'Inputs and Outputs'!F56/35.315,'Inputs and Outputs'!F56)*$D$3*$D$6*0.001</f>
        <v>9.9060999999999996E-2</v>
      </c>
      <c r="E40" s="145" t="s">
        <v>343</v>
      </c>
      <c r="F40" s="146"/>
      <c r="G40" s="146" t="s">
        <v>355</v>
      </c>
      <c r="H40" s="146" t="s">
        <v>326</v>
      </c>
    </row>
    <row r="41" spans="2:8">
      <c r="B41" s="150" t="s">
        <v>44</v>
      </c>
      <c r="C41" s="150" t="s">
        <v>275</v>
      </c>
      <c r="D41" s="154">
        <f>IF('Inputs and Outputs'!G57="scf",'Inputs and Outputs'!F57/35.315,'Inputs and Outputs'!F57)*$D$3*$D$6*0.001</f>
        <v>9.9060999999999996E-2</v>
      </c>
      <c r="E41" s="145" t="s">
        <v>343</v>
      </c>
      <c r="F41" s="146"/>
      <c r="G41" s="146" t="s">
        <v>356</v>
      </c>
      <c r="H41" s="146" t="s">
        <v>326</v>
      </c>
    </row>
    <row r="42" spans="2:8">
      <c r="B42" s="150" t="s">
        <v>44</v>
      </c>
      <c r="C42" s="150" t="s">
        <v>277</v>
      </c>
      <c r="D42" s="154">
        <f>IF('Inputs and Outputs'!G58="scf",'Inputs and Outputs'!F58/35.315,'Inputs and Outputs'!F58)*$D$3*$D$6*0.001</f>
        <v>9.9060999999999996E-2</v>
      </c>
      <c r="E42" s="145" t="s">
        <v>343</v>
      </c>
      <c r="F42" s="146" t="s">
        <v>354</v>
      </c>
      <c r="G42" s="146" t="s">
        <v>351</v>
      </c>
      <c r="H42" s="146" t="s">
        <v>326</v>
      </c>
    </row>
    <row r="43" spans="2:8">
      <c r="B43" s="107" t="s">
        <v>44</v>
      </c>
      <c r="C43" s="107" t="s">
        <v>284</v>
      </c>
      <c r="D43" s="155">
        <f>IF('Inputs and Outputs'!H61="scf/hr",'Inputs and Outputs'!G61/35.315,'Inputs and Outputs'!G61)*'Inputs and Outputs'!E61*'Inputs and Outputs'!F61*$D$3*$D$6*0.001</f>
        <v>86.003405351833521</v>
      </c>
      <c r="E43" s="141" t="s">
        <v>357</v>
      </c>
      <c r="F43" s="142" t="s">
        <v>358</v>
      </c>
      <c r="G43" s="151" t="s">
        <v>359</v>
      </c>
      <c r="H43" s="142"/>
    </row>
    <row r="44" spans="2:8">
      <c r="B44" s="107" t="s">
        <v>44</v>
      </c>
      <c r="C44" s="107" t="s">
        <v>286</v>
      </c>
      <c r="D44" s="155">
        <f>IF('Inputs and Outputs'!H62="scf/hr",'Inputs and Outputs'!G62/35.315,'Inputs and Outputs'!G62)*'Inputs and Outputs'!E62*'Inputs and Outputs'!F62*$D$3*$D$6*0.001</f>
        <v>19.657921223276229</v>
      </c>
      <c r="E44" s="141" t="s">
        <v>357</v>
      </c>
      <c r="F44" s="142" t="s">
        <v>358</v>
      </c>
      <c r="G44" s="151" t="s">
        <v>359</v>
      </c>
      <c r="H44" s="142"/>
    </row>
    <row r="45" spans="2:8">
      <c r="B45" s="107" t="s">
        <v>44</v>
      </c>
      <c r="C45" s="107" t="s">
        <v>287</v>
      </c>
      <c r="D45" s="155">
        <f>IF('Inputs and Outputs'!H63="scf/hr",'Inputs and Outputs'!G63/35.315,'Inputs and Outputs'!G63)*'Inputs and Outputs'!E63*'Inputs and Outputs'!F63*$D$3*$D$6*0.001</f>
        <v>46.687562905281048</v>
      </c>
      <c r="E45" s="141" t="s">
        <v>357</v>
      </c>
      <c r="F45" s="142" t="s">
        <v>358</v>
      </c>
      <c r="G45" s="151" t="s">
        <v>359</v>
      </c>
      <c r="H45" s="142"/>
    </row>
    <row r="46" spans="2:8">
      <c r="B46" s="107" t="s">
        <v>44</v>
      </c>
      <c r="C46" s="107" t="s">
        <v>288</v>
      </c>
      <c r="D46" s="155">
        <f>IF('Inputs and Outputs'!H64="scf/hr",'Inputs and Outputs'!G64/35.315,'Inputs and Outputs'!G64)*'Inputs and Outputs'!E64*'Inputs and Outputs'!F64*$D$3*$D$6*0.001</f>
        <v>68.802724281466794</v>
      </c>
      <c r="E46" s="141" t="s">
        <v>357</v>
      </c>
      <c r="F46" s="142" t="s">
        <v>358</v>
      </c>
      <c r="G46" s="151" t="s">
        <v>359</v>
      </c>
      <c r="H46" s="142"/>
    </row>
    <row r="47" spans="2:8">
      <c r="B47" s="150" t="s">
        <v>44</v>
      </c>
      <c r="C47" s="150" t="s">
        <v>360</v>
      </c>
      <c r="D47" s="156">
        <f>SUM(D43:D46)</f>
        <v>221.15161376185759</v>
      </c>
      <c r="E47" s="145" t="s">
        <v>361</v>
      </c>
      <c r="F47" s="146" t="s">
        <v>358</v>
      </c>
      <c r="G47" s="152" t="s">
        <v>359</v>
      </c>
      <c r="H47" s="146"/>
    </row>
    <row r="48" spans="2:8">
      <c r="B48" s="150" t="s">
        <v>44</v>
      </c>
      <c r="C48" s="150" t="s">
        <v>362</v>
      </c>
      <c r="D48" s="154">
        <f>(IF('Inputs and Outputs'!D18=1,(VLOOKUP('Inputs and Outputs'!D4,'Fugitives Profiles'!B8:L11,11,0)),IF('Inputs and Outputs'!D18=3,(VLOOKUP('Inputs and Outputs'!D4,'Fugitives Profiles'!B13:L16,11,0)),(VLOOKUP('Inputs and Outputs'!D4,'Fugitives Profiles'!B18:L21,11,0)))))*D3*D6*0.001</f>
        <v>84.623665005974814</v>
      </c>
      <c r="E48" s="145" t="s">
        <v>363</v>
      </c>
      <c r="F48" s="146" t="s">
        <v>358</v>
      </c>
      <c r="G48" s="152" t="s">
        <v>359</v>
      </c>
      <c r="H48" s="146"/>
    </row>
    <row r="49" spans="2:8">
      <c r="B49" s="107" t="s">
        <v>44</v>
      </c>
      <c r="C49" s="107" t="s">
        <v>364</v>
      </c>
      <c r="D49" s="155">
        <f>IF(D47=0,D48,D47)</f>
        <v>221.15161376185759</v>
      </c>
      <c r="E49" s="141" t="s">
        <v>365</v>
      </c>
      <c r="F49" s="142"/>
      <c r="G49" s="142"/>
      <c r="H49" s="142"/>
    </row>
    <row r="50" spans="2:8">
      <c r="B50" s="107" t="s">
        <v>366</v>
      </c>
      <c r="C50" s="107" t="s">
        <v>171</v>
      </c>
      <c r="D50" s="153">
        <f>'Inputs and Outputs'!I69</f>
        <v>0</v>
      </c>
      <c r="E50" s="141" t="s">
        <v>367</v>
      </c>
      <c r="F50" s="142"/>
      <c r="G50" s="142"/>
      <c r="H50" s="142"/>
    </row>
  </sheetData>
  <sheetProtection sheet="1" objects="1" scenarios="1" selectLockedCells="1"/>
  <mergeCells count="2">
    <mergeCell ref="C2:D2"/>
    <mergeCell ref="C8:D8"/>
  </mergeCells>
  <phoneticPr fontId="3" type="noConversion"/>
  <hyperlinks>
    <hyperlink ref="G9" r:id="rId1" xr:uid="{42275797-DBD4-485C-9A5C-7DA983FF05FA}"/>
    <hyperlink ref="F9" r:id="rId2" xr:uid="{A7E6B4C9-78F5-4FF6-9C5B-BC57126A85EA}"/>
    <hyperlink ref="G43" r:id="rId3" xr:uid="{86018192-15A1-4E18-AC75-BFE84F1127EC}"/>
    <hyperlink ref="G44:G48" r:id="rId4" display="Manual 015" xr:uid="{B63BAA47-2479-4B29-8328-140CC0373EDD}"/>
    <hyperlink ref="G48" r:id="rId5" xr:uid="{566B0531-7601-4F35-A891-D5711C267FA8}"/>
    <hyperlink ref="F26" r:id="rId6" xr:uid="{9CB938CC-E1DA-409F-9252-D5FC6BA1051D}"/>
  </hyperlinks>
  <pageMargins left="0.7" right="0.7" top="0.75" bottom="0.75" header="0.3" footer="0.3"/>
  <pageSetup orientation="portrait" r:id="rId7"/>
  <drawing r:id="rId8"/>
  <legacy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48AB-D005-458C-A681-09539992F5B7}">
  <dimension ref="B1:I35"/>
  <sheetViews>
    <sheetView topLeftCell="A13" workbookViewId="0">
      <selection activeCell="B35" sqref="B35"/>
    </sheetView>
  </sheetViews>
  <sheetFormatPr baseColWidth="10" defaultColWidth="8.83203125" defaultRowHeight="14"/>
  <cols>
    <col min="1" max="1" width="1.6640625" style="12" customWidth="1"/>
    <col min="2" max="2" width="37.5" style="12" customWidth="1"/>
    <col min="3" max="3" width="28.5" style="12" bestFit="1" customWidth="1"/>
    <col min="4" max="4" width="32.1640625" style="12" customWidth="1"/>
    <col min="5" max="5" width="29.1640625" style="12" customWidth="1"/>
    <col min="6" max="6" width="31.6640625" style="12" bestFit="1" customWidth="1"/>
    <col min="7" max="7" width="21.5" style="12" bestFit="1" customWidth="1"/>
    <col min="8" max="8" width="39" style="12" bestFit="1" customWidth="1"/>
    <col min="9" max="9" width="18.5" style="12" bestFit="1" customWidth="1"/>
    <col min="10" max="16384" width="8.83203125" style="12"/>
  </cols>
  <sheetData>
    <row r="1" spans="2:8" ht="6.5" customHeight="1"/>
    <row r="2" spans="2:8" ht="15">
      <c r="E2" s="5" t="s">
        <v>1</v>
      </c>
    </row>
    <row r="6" spans="2:8">
      <c r="B6" s="79" t="s">
        <v>404</v>
      </c>
      <c r="C6" s="80" t="s">
        <v>405</v>
      </c>
      <c r="D6" s="80" t="s">
        <v>406</v>
      </c>
      <c r="E6" s="80" t="s">
        <v>407</v>
      </c>
      <c r="F6" s="81" t="s">
        <v>408</v>
      </c>
    </row>
    <row r="7" spans="2:8">
      <c r="B7" s="25" t="s">
        <v>221</v>
      </c>
      <c r="C7" s="26">
        <v>0.75</v>
      </c>
      <c r="D7" s="26">
        <v>0.26050000000000001</v>
      </c>
      <c r="E7" s="27">
        <f>F7/35.315</f>
        <v>0.91745717117372227</v>
      </c>
      <c r="F7" s="26">
        <v>32.4</v>
      </c>
    </row>
    <row r="8" spans="2:8">
      <c r="B8" s="48" t="s">
        <v>222</v>
      </c>
      <c r="C8" s="68">
        <v>1.5100000000000001E-2</v>
      </c>
      <c r="D8" s="68">
        <v>0.24759999999999999</v>
      </c>
      <c r="E8" s="69">
        <f t="shared" ref="E8:E10" si="0">F8/35.315</f>
        <v>0.19255273962905281</v>
      </c>
      <c r="F8" s="68">
        <v>6.8</v>
      </c>
    </row>
    <row r="9" spans="2:8">
      <c r="B9" s="10" t="s">
        <v>223</v>
      </c>
      <c r="C9" s="14">
        <v>0.4209</v>
      </c>
      <c r="D9" s="14">
        <v>3.8800000000000001E-2</v>
      </c>
      <c r="E9" s="16">
        <f t="shared" si="0"/>
        <v>6.5128132521591386E-2</v>
      </c>
      <c r="F9" s="14">
        <v>2.2999999999999998</v>
      </c>
    </row>
    <row r="10" spans="2:8">
      <c r="B10" s="48" t="s">
        <v>226</v>
      </c>
      <c r="C10" s="68">
        <v>0.37659999999999999</v>
      </c>
      <c r="D10" s="68">
        <v>0.37659999999999999</v>
      </c>
      <c r="E10" s="69">
        <f t="shared" si="0"/>
        <v>0.37661050545094155</v>
      </c>
      <c r="F10" s="68">
        <v>13.3</v>
      </c>
    </row>
    <row r="11" spans="2:8">
      <c r="B11" s="10" t="s">
        <v>228</v>
      </c>
      <c r="C11" s="14">
        <v>1.0542</v>
      </c>
      <c r="D11" s="14">
        <v>0.37659999999999999</v>
      </c>
      <c r="E11" s="16">
        <v>0.37661050545094155</v>
      </c>
      <c r="F11" s="14"/>
    </row>
    <row r="12" spans="2:8">
      <c r="B12" s="48" t="s">
        <v>229</v>
      </c>
      <c r="C12" s="68">
        <v>0.5917</v>
      </c>
      <c r="D12" s="68">
        <v>0.37659999999999999</v>
      </c>
      <c r="E12" s="69">
        <v>0.37661050545094155</v>
      </c>
      <c r="F12" s="68"/>
    </row>
    <row r="13" spans="2:8">
      <c r="D13" s="17"/>
    </row>
    <row r="14" spans="2:8">
      <c r="B14" s="79" t="s">
        <v>409</v>
      </c>
      <c r="C14" s="80" t="s">
        <v>405</v>
      </c>
      <c r="D14" s="80" t="s">
        <v>410</v>
      </c>
      <c r="E14" s="80" t="s">
        <v>448</v>
      </c>
      <c r="F14" s="80" t="s">
        <v>447</v>
      </c>
      <c r="G14" s="80" t="s">
        <v>411</v>
      </c>
      <c r="H14" s="81" t="s">
        <v>412</v>
      </c>
    </row>
    <row r="15" spans="2:8">
      <c r="B15" s="13" t="s">
        <v>242</v>
      </c>
      <c r="C15" s="40">
        <v>1.28</v>
      </c>
      <c r="D15" s="40">
        <v>1.28</v>
      </c>
      <c r="E15" s="41">
        <f>F15/35.315</f>
        <v>268.4411723063854</v>
      </c>
      <c r="F15" s="40">
        <f>9.48*10^3</f>
        <v>9480</v>
      </c>
      <c r="G15" s="40">
        <v>4</v>
      </c>
      <c r="H15" s="18" t="s">
        <v>449</v>
      </c>
    </row>
    <row r="16" spans="2:8">
      <c r="B16" s="11" t="s">
        <v>244</v>
      </c>
      <c r="C16" s="40">
        <v>1.41</v>
      </c>
      <c r="D16" s="40">
        <v>1.41</v>
      </c>
      <c r="E16" s="41">
        <f t="shared" ref="E16" si="1">F16/35.315</f>
        <v>339798.95228656381</v>
      </c>
      <c r="F16" s="40">
        <f>1.2*10^7</f>
        <v>12000000</v>
      </c>
      <c r="G16" s="15"/>
      <c r="H16" s="28" t="s">
        <v>413</v>
      </c>
    </row>
    <row r="17" spans="2:9">
      <c r="B17" s="13" t="s">
        <v>245</v>
      </c>
      <c r="C17" s="40">
        <v>1.27</v>
      </c>
      <c r="D17" s="40">
        <v>1.27</v>
      </c>
      <c r="E17" s="40">
        <v>41.89</v>
      </c>
      <c r="F17" s="40" t="s">
        <v>457</v>
      </c>
      <c r="G17" s="14"/>
      <c r="H17" s="18" t="s">
        <v>413</v>
      </c>
    </row>
    <row r="18" spans="2:9">
      <c r="B18" s="20" t="s">
        <v>414</v>
      </c>
      <c r="C18" s="21"/>
      <c r="D18" s="21"/>
      <c r="E18" s="21"/>
      <c r="F18" s="21"/>
      <c r="G18" s="22"/>
      <c r="H18" s="19"/>
    </row>
    <row r="19" spans="2:9">
      <c r="D19" s="17"/>
    </row>
    <row r="20" spans="2:9">
      <c r="B20" s="79" t="s">
        <v>415</v>
      </c>
      <c r="C20" s="81" t="s">
        <v>416</v>
      </c>
      <c r="D20" s="17"/>
      <c r="E20" s="77"/>
      <c r="F20" s="78"/>
    </row>
    <row r="21" spans="2:9">
      <c r="B21" s="10" t="s">
        <v>231</v>
      </c>
      <c r="C21" s="23">
        <v>5.3700000000000004E-4</v>
      </c>
      <c r="D21" s="17"/>
      <c r="E21" s="77"/>
      <c r="F21" s="78"/>
      <c r="G21" s="78"/>
    </row>
    <row r="22" spans="2:9">
      <c r="B22" s="48" t="s">
        <v>232</v>
      </c>
      <c r="C22" s="67">
        <v>9.8900000000000005E-5</v>
      </c>
      <c r="D22" s="17"/>
      <c r="E22" s="77"/>
      <c r="F22" s="77"/>
    </row>
    <row r="23" spans="2:9">
      <c r="B23" s="10" t="s">
        <v>233</v>
      </c>
      <c r="C23" s="23">
        <v>6.2299999999999996E-4</v>
      </c>
      <c r="D23" s="17"/>
    </row>
    <row r="24" spans="2:9">
      <c r="B24" s="48" t="s">
        <v>319</v>
      </c>
      <c r="C24" s="67">
        <v>9.7000000000000003E-7</v>
      </c>
      <c r="D24" s="17"/>
    </row>
    <row r="25" spans="2:9">
      <c r="B25" s="10" t="s">
        <v>235</v>
      </c>
      <c r="C25" s="23">
        <v>3.7000000000000002E-6</v>
      </c>
      <c r="D25" s="17"/>
    </row>
    <row r="26" spans="2:9">
      <c r="B26" s="48" t="s">
        <v>236</v>
      </c>
      <c r="C26" s="67">
        <f>C21</f>
        <v>5.3700000000000004E-4</v>
      </c>
      <c r="D26" s="24"/>
    </row>
    <row r="28" spans="2:9">
      <c r="B28" s="79" t="s">
        <v>417</v>
      </c>
      <c r="C28" s="80" t="s">
        <v>418</v>
      </c>
      <c r="D28" s="80" t="s">
        <v>419</v>
      </c>
      <c r="E28" s="80" t="s">
        <v>189</v>
      </c>
      <c r="F28" s="80" t="s">
        <v>190</v>
      </c>
      <c r="G28" s="80" t="s">
        <v>192</v>
      </c>
      <c r="H28" s="80" t="s">
        <v>420</v>
      </c>
      <c r="I28" s="81" t="s">
        <v>421</v>
      </c>
    </row>
    <row r="29" spans="2:9">
      <c r="B29" s="10" t="s">
        <v>369</v>
      </c>
      <c r="C29" s="40">
        <v>50</v>
      </c>
      <c r="D29" s="40">
        <v>5</v>
      </c>
      <c r="E29" s="40">
        <v>0.98</v>
      </c>
      <c r="F29" s="40">
        <v>0.87</v>
      </c>
      <c r="G29" s="40">
        <v>46</v>
      </c>
      <c r="H29" s="40">
        <v>38500</v>
      </c>
      <c r="I29" s="41">
        <v>3.9464842079540638E-2</v>
      </c>
    </row>
    <row r="30" spans="2:9">
      <c r="B30" s="48" t="s">
        <v>184</v>
      </c>
      <c r="C30" s="40">
        <v>100</v>
      </c>
      <c r="D30" s="40">
        <v>20</v>
      </c>
      <c r="E30" s="40">
        <v>0.73</v>
      </c>
      <c r="F30" s="40">
        <v>0.1</v>
      </c>
      <c r="G30" s="40">
        <v>46</v>
      </c>
      <c r="H30" s="40">
        <v>38500</v>
      </c>
      <c r="I30" s="41">
        <v>0.39115841590114475</v>
      </c>
    </row>
    <row r="31" spans="2:9">
      <c r="B31" s="10" t="s">
        <v>370</v>
      </c>
      <c r="C31" s="40">
        <v>300</v>
      </c>
      <c r="D31" s="40">
        <v>30</v>
      </c>
      <c r="E31" s="40">
        <v>0.73</v>
      </c>
      <c r="F31" s="40">
        <v>0.1</v>
      </c>
      <c r="G31" s="40">
        <v>46</v>
      </c>
      <c r="H31" s="40">
        <v>38500</v>
      </c>
      <c r="I31" s="41">
        <v>0.97153499908096841</v>
      </c>
    </row>
    <row r="32" spans="2:9">
      <c r="B32" s="48" t="s">
        <v>371</v>
      </c>
      <c r="C32" s="40">
        <v>0</v>
      </c>
      <c r="D32" s="40">
        <v>0</v>
      </c>
      <c r="E32" s="40">
        <v>0.97</v>
      </c>
      <c r="F32" s="40">
        <v>0</v>
      </c>
      <c r="G32" s="40">
        <v>46</v>
      </c>
      <c r="H32" s="40">
        <v>38500</v>
      </c>
      <c r="I32" s="41">
        <v>1</v>
      </c>
    </row>
    <row r="34" spans="2:2">
      <c r="B34" s="82" t="s">
        <v>422</v>
      </c>
    </row>
    <row r="35" spans="2:2">
      <c r="B35" s="40">
        <v>0.98</v>
      </c>
    </row>
  </sheetData>
  <dataValidations count="1">
    <dataValidation type="list" allowBlank="1" showInputMessage="1" showErrorMessage="1" sqref="B30:B32" xr:uid="{4FF74346-4695-4D1E-9B54-313EA43688B7}">
      <formula1>"Heavy Oil, Conventional Oil, Wet Gas, Dry Gas"</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E948-F25C-4582-BD42-9779772C8639}">
  <sheetPr>
    <tabColor theme="2" tint="-0.499984740745262"/>
  </sheetPr>
  <dimension ref="A1:H27"/>
  <sheetViews>
    <sheetView workbookViewId="0">
      <selection activeCell="C8" sqref="C8"/>
    </sheetView>
  </sheetViews>
  <sheetFormatPr baseColWidth="10" defaultColWidth="8.83203125" defaultRowHeight="15"/>
  <cols>
    <col min="1" max="1" width="16.6640625" style="1" customWidth="1"/>
    <col min="2" max="2" width="33.83203125" style="1" bestFit="1" customWidth="1"/>
    <col min="3" max="3" width="16.1640625" style="1" customWidth="1"/>
    <col min="4" max="4" width="18.5" style="1" customWidth="1"/>
    <col min="5" max="5" width="16.6640625" style="1" customWidth="1"/>
    <col min="6" max="6" width="14.6640625" style="1" customWidth="1"/>
    <col min="7" max="7" width="19.33203125" style="1" bestFit="1" customWidth="1"/>
    <col min="8" max="8" width="22.6640625" style="1" customWidth="1"/>
    <col min="9" max="16384" width="8.83203125" style="1"/>
  </cols>
  <sheetData>
    <row r="1" spans="1:8" ht="21.5" customHeight="1">
      <c r="A1" s="203" t="s">
        <v>368</v>
      </c>
      <c r="B1" s="72" t="s">
        <v>183</v>
      </c>
      <c r="C1" s="73" t="s">
        <v>369</v>
      </c>
      <c r="D1" s="73" t="s">
        <v>184</v>
      </c>
      <c r="E1" s="73" t="s">
        <v>370</v>
      </c>
      <c r="F1" s="73" t="s">
        <v>371</v>
      </c>
      <c r="G1" s="73" t="s">
        <v>371</v>
      </c>
      <c r="H1" s="74" t="s">
        <v>372</v>
      </c>
    </row>
    <row r="2" spans="1:8" ht="18.5" customHeight="1">
      <c r="A2" s="203"/>
      <c r="B2" s="75" t="s">
        <v>373</v>
      </c>
      <c r="C2" s="76" t="s">
        <v>227</v>
      </c>
      <c r="D2" s="76" t="s">
        <v>227</v>
      </c>
      <c r="E2" s="76" t="s">
        <v>374</v>
      </c>
      <c r="F2" s="76" t="s">
        <v>227</v>
      </c>
      <c r="G2" s="76" t="s">
        <v>375</v>
      </c>
      <c r="H2" s="76" t="s">
        <v>376</v>
      </c>
    </row>
    <row r="3" spans="1:8">
      <c r="A3" s="204" t="s">
        <v>377</v>
      </c>
      <c r="B3" s="64" t="s">
        <v>378</v>
      </c>
      <c r="C3" s="65">
        <v>3</v>
      </c>
      <c r="D3" s="65">
        <v>3</v>
      </c>
      <c r="E3" s="65">
        <v>3</v>
      </c>
      <c r="F3" s="65">
        <v>3</v>
      </c>
      <c r="G3" s="65">
        <v>3</v>
      </c>
      <c r="H3" s="65">
        <v>3</v>
      </c>
    </row>
    <row r="4" spans="1:8">
      <c r="A4" s="205"/>
      <c r="B4" s="63" t="s">
        <v>379</v>
      </c>
      <c r="C4" s="66">
        <v>5</v>
      </c>
      <c r="D4" s="66">
        <v>5</v>
      </c>
      <c r="E4" s="66">
        <v>5</v>
      </c>
      <c r="F4" s="66">
        <v>5</v>
      </c>
      <c r="G4" s="66">
        <v>5</v>
      </c>
      <c r="H4" s="66">
        <v>5</v>
      </c>
    </row>
    <row r="5" spans="1:8">
      <c r="A5" s="205"/>
      <c r="B5" s="63" t="s">
        <v>380</v>
      </c>
      <c r="C5" s="66">
        <v>10</v>
      </c>
      <c r="D5" s="66">
        <v>10</v>
      </c>
      <c r="E5" s="66">
        <v>10</v>
      </c>
      <c r="F5" s="66">
        <v>10</v>
      </c>
      <c r="G5" s="66">
        <v>10</v>
      </c>
      <c r="H5" s="66">
        <v>10</v>
      </c>
    </row>
    <row r="6" spans="1:8">
      <c r="A6" s="205"/>
      <c r="B6" s="63" t="s">
        <v>381</v>
      </c>
      <c r="C6" s="66">
        <v>4</v>
      </c>
      <c r="D6" s="66">
        <v>4</v>
      </c>
      <c r="E6" s="66">
        <v>4</v>
      </c>
      <c r="F6" s="66">
        <v>4</v>
      </c>
      <c r="G6" s="66">
        <v>4</v>
      </c>
      <c r="H6" s="66">
        <v>4</v>
      </c>
    </row>
    <row r="7" spans="1:8">
      <c r="A7" s="206" t="s">
        <v>382</v>
      </c>
      <c r="B7" s="10" t="s">
        <v>383</v>
      </c>
      <c r="C7" s="14">
        <v>28</v>
      </c>
      <c r="D7" s="14">
        <v>28</v>
      </c>
      <c r="E7" s="14">
        <v>95</v>
      </c>
      <c r="F7" s="14">
        <v>28</v>
      </c>
      <c r="G7" s="14">
        <v>71</v>
      </c>
      <c r="H7" s="14">
        <v>170</v>
      </c>
    </row>
    <row r="8" spans="1:8">
      <c r="A8" s="206"/>
      <c r="B8" s="10" t="s">
        <v>384</v>
      </c>
      <c r="C8" s="14">
        <v>145</v>
      </c>
      <c r="D8" s="14">
        <v>145</v>
      </c>
      <c r="E8" s="14">
        <v>675</v>
      </c>
      <c r="F8" s="14">
        <v>145</v>
      </c>
      <c r="G8" s="14">
        <v>301</v>
      </c>
      <c r="H8" s="14">
        <v>527</v>
      </c>
    </row>
    <row r="9" spans="1:8">
      <c r="A9" s="206"/>
      <c r="B9" s="10" t="s">
        <v>385</v>
      </c>
      <c r="C9" s="14">
        <v>10</v>
      </c>
      <c r="D9" s="14">
        <v>10</v>
      </c>
      <c r="E9" s="14">
        <v>4</v>
      </c>
      <c r="F9" s="14">
        <v>10</v>
      </c>
      <c r="G9" s="14">
        <v>4.5</v>
      </c>
      <c r="H9" s="14">
        <v>15</v>
      </c>
    </row>
    <row r="10" spans="1:8">
      <c r="A10" s="206"/>
      <c r="B10" s="10" t="s">
        <v>386</v>
      </c>
      <c r="C10" s="14">
        <v>7</v>
      </c>
      <c r="D10" s="14">
        <v>7</v>
      </c>
      <c r="E10" s="14">
        <v>3</v>
      </c>
      <c r="F10" s="14">
        <v>7</v>
      </c>
      <c r="G10" s="14">
        <v>3</v>
      </c>
      <c r="H10" s="14">
        <v>10</v>
      </c>
    </row>
    <row r="11" spans="1:8">
      <c r="A11" s="206"/>
      <c r="B11" s="10" t="s">
        <v>387</v>
      </c>
      <c r="C11" s="14">
        <v>0</v>
      </c>
      <c r="D11" s="14">
        <v>0</v>
      </c>
      <c r="E11" s="14">
        <v>0</v>
      </c>
      <c r="F11" s="14">
        <v>0</v>
      </c>
      <c r="G11" s="14">
        <v>0</v>
      </c>
      <c r="H11" s="14">
        <v>0</v>
      </c>
    </row>
    <row r="12" spans="1:8">
      <c r="A12" s="205" t="s">
        <v>388</v>
      </c>
      <c r="B12" s="63" t="s">
        <v>338</v>
      </c>
      <c r="C12" s="66">
        <v>2</v>
      </c>
      <c r="D12" s="66">
        <v>2</v>
      </c>
      <c r="E12" s="66">
        <v>2</v>
      </c>
      <c r="F12" s="66">
        <v>0</v>
      </c>
      <c r="G12" s="66">
        <v>0</v>
      </c>
      <c r="H12" s="66">
        <v>2</v>
      </c>
    </row>
    <row r="13" spans="1:8">
      <c r="A13" s="205"/>
      <c r="B13" s="63" t="s">
        <v>389</v>
      </c>
      <c r="C13" s="66">
        <v>0</v>
      </c>
      <c r="D13" s="66">
        <v>0</v>
      </c>
      <c r="E13" s="66">
        <v>0</v>
      </c>
      <c r="F13" s="66">
        <v>0</v>
      </c>
      <c r="G13" s="66">
        <v>0</v>
      </c>
      <c r="H13" s="66">
        <v>0</v>
      </c>
    </row>
    <row r="14" spans="1:8">
      <c r="A14" s="202" t="s">
        <v>390</v>
      </c>
      <c r="B14" s="10" t="s">
        <v>391</v>
      </c>
      <c r="C14" s="14">
        <v>2</v>
      </c>
      <c r="D14" s="14">
        <v>2</v>
      </c>
      <c r="E14" s="14">
        <v>2</v>
      </c>
      <c r="F14" s="14">
        <v>2</v>
      </c>
      <c r="G14" s="14">
        <v>2</v>
      </c>
      <c r="H14" s="14">
        <v>2</v>
      </c>
    </row>
    <row r="15" spans="1:8">
      <c r="A15" s="202"/>
      <c r="B15" s="10" t="s">
        <v>392</v>
      </c>
      <c r="C15" s="14">
        <v>0</v>
      </c>
      <c r="D15" s="14">
        <v>0</v>
      </c>
      <c r="E15" s="14">
        <v>0</v>
      </c>
      <c r="F15" s="14">
        <v>0</v>
      </c>
      <c r="G15" s="14">
        <v>0</v>
      </c>
      <c r="H15" s="14">
        <v>0</v>
      </c>
    </row>
    <row r="16" spans="1:8">
      <c r="A16" s="202"/>
      <c r="B16" s="10" t="s">
        <v>393</v>
      </c>
      <c r="C16" s="14">
        <v>0</v>
      </c>
      <c r="D16" s="14">
        <v>1</v>
      </c>
      <c r="E16" s="14">
        <v>1</v>
      </c>
      <c r="F16" s="14">
        <v>1</v>
      </c>
      <c r="G16" s="14">
        <v>1</v>
      </c>
      <c r="H16" s="14">
        <v>1</v>
      </c>
    </row>
    <row r="17" spans="1:8">
      <c r="A17" s="201" t="s">
        <v>394</v>
      </c>
      <c r="B17" s="63" t="s">
        <v>395</v>
      </c>
      <c r="C17" s="66">
        <v>2</v>
      </c>
      <c r="D17" s="66">
        <v>2</v>
      </c>
      <c r="E17" s="66">
        <v>2</v>
      </c>
      <c r="F17" s="66">
        <v>2</v>
      </c>
      <c r="G17" s="66">
        <v>2</v>
      </c>
      <c r="H17" s="66">
        <v>2</v>
      </c>
    </row>
    <row r="18" spans="1:8">
      <c r="A18" s="201"/>
      <c r="B18" s="63" t="s">
        <v>396</v>
      </c>
      <c r="C18" s="66">
        <v>10</v>
      </c>
      <c r="D18" s="66">
        <v>10</v>
      </c>
      <c r="E18" s="66">
        <v>10</v>
      </c>
      <c r="F18" s="66">
        <v>10</v>
      </c>
      <c r="G18" s="66">
        <v>10</v>
      </c>
      <c r="H18" s="66">
        <v>10</v>
      </c>
    </row>
    <row r="19" spans="1:8">
      <c r="A19" s="202" t="s">
        <v>397</v>
      </c>
      <c r="B19" s="10" t="s">
        <v>398</v>
      </c>
      <c r="C19" s="14">
        <v>1</v>
      </c>
      <c r="D19" s="14">
        <v>1</v>
      </c>
      <c r="E19" s="14">
        <v>0</v>
      </c>
      <c r="F19" s="14">
        <v>0</v>
      </c>
      <c r="G19" s="14">
        <v>0</v>
      </c>
      <c r="H19" s="14">
        <v>1</v>
      </c>
    </row>
    <row r="20" spans="1:8">
      <c r="A20" s="202"/>
      <c r="B20" s="10" t="s">
        <v>399</v>
      </c>
      <c r="C20" s="14">
        <v>0</v>
      </c>
      <c r="D20" s="14">
        <v>0</v>
      </c>
      <c r="E20" s="14">
        <v>1</v>
      </c>
      <c r="F20" s="14">
        <v>1</v>
      </c>
      <c r="G20" s="14">
        <v>1</v>
      </c>
      <c r="H20" s="14">
        <v>0</v>
      </c>
    </row>
    <row r="21" spans="1:8">
      <c r="A21" s="201" t="s">
        <v>400</v>
      </c>
      <c r="B21" s="63" t="s">
        <v>401</v>
      </c>
      <c r="C21" s="66">
        <v>0</v>
      </c>
      <c r="D21" s="66">
        <v>0</v>
      </c>
      <c r="E21" s="66">
        <v>0</v>
      </c>
      <c r="F21" s="66">
        <v>0</v>
      </c>
      <c r="G21" s="66">
        <v>0</v>
      </c>
      <c r="H21" s="66">
        <v>0</v>
      </c>
    </row>
    <row r="22" spans="1:8">
      <c r="A22" s="201"/>
      <c r="B22" s="63" t="s">
        <v>402</v>
      </c>
      <c r="C22" s="66">
        <v>0</v>
      </c>
      <c r="D22" s="66">
        <v>0</v>
      </c>
      <c r="E22" s="66">
        <v>0</v>
      </c>
      <c r="F22" s="66">
        <v>0</v>
      </c>
      <c r="G22" s="66">
        <v>0</v>
      </c>
      <c r="H22" s="66">
        <v>0</v>
      </c>
    </row>
    <row r="23" spans="1:8">
      <c r="A23" s="201"/>
      <c r="B23" s="63" t="s">
        <v>403</v>
      </c>
      <c r="C23" s="66">
        <v>3</v>
      </c>
      <c r="D23" s="66">
        <v>3</v>
      </c>
      <c r="E23" s="66">
        <v>3</v>
      </c>
      <c r="F23" s="66">
        <v>3</v>
      </c>
      <c r="G23" s="66">
        <v>3</v>
      </c>
      <c r="H23" s="66">
        <v>3</v>
      </c>
    </row>
    <row r="24" spans="1:8">
      <c r="A24" s="201"/>
      <c r="B24" s="63" t="s">
        <v>265</v>
      </c>
      <c r="C24" s="66">
        <v>4</v>
      </c>
      <c r="D24" s="66">
        <v>4</v>
      </c>
      <c r="E24" s="66">
        <v>4</v>
      </c>
      <c r="F24" s="66">
        <v>4</v>
      </c>
      <c r="G24" s="66">
        <v>4</v>
      </c>
      <c r="H24" s="66">
        <v>4</v>
      </c>
    </row>
    <row r="25" spans="1:8">
      <c r="A25" s="201"/>
      <c r="B25" s="63" t="s">
        <v>134</v>
      </c>
      <c r="C25" s="66">
        <v>4</v>
      </c>
      <c r="D25" s="66">
        <v>4</v>
      </c>
      <c r="E25" s="66">
        <v>4</v>
      </c>
      <c r="F25" s="66">
        <v>1</v>
      </c>
      <c r="G25" s="66">
        <v>1</v>
      </c>
      <c r="H25" s="66">
        <v>4</v>
      </c>
    </row>
    <row r="26" spans="1:8">
      <c r="A26" s="201"/>
      <c r="B26" s="63" t="s">
        <v>167</v>
      </c>
      <c r="C26" s="66">
        <v>2</v>
      </c>
      <c r="D26" s="66">
        <v>2</v>
      </c>
      <c r="E26" s="66">
        <v>2</v>
      </c>
      <c r="F26" s="66">
        <v>2</v>
      </c>
      <c r="G26" s="66">
        <v>2</v>
      </c>
      <c r="H26" s="66">
        <v>2</v>
      </c>
    </row>
    <row r="27" spans="1:8">
      <c r="A27" s="201"/>
      <c r="B27" s="63" t="s">
        <v>49</v>
      </c>
      <c r="C27" s="66">
        <v>1</v>
      </c>
      <c r="D27" s="66">
        <v>1</v>
      </c>
      <c r="E27" s="66">
        <v>1</v>
      </c>
      <c r="F27" s="66">
        <v>0</v>
      </c>
      <c r="G27" s="66">
        <v>0</v>
      </c>
      <c r="H27" s="66">
        <v>1</v>
      </c>
    </row>
  </sheetData>
  <mergeCells count="8">
    <mergeCell ref="A17:A18"/>
    <mergeCell ref="A19:A20"/>
    <mergeCell ref="A21:A27"/>
    <mergeCell ref="A1:A2"/>
    <mergeCell ref="A3:A6"/>
    <mergeCell ref="A7:A11"/>
    <mergeCell ref="A12:A13"/>
    <mergeCell ref="A14:A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F27E1-88C6-4B3B-BD05-4C5062CFDD27}">
  <sheetPr>
    <tabColor theme="2" tint="-0.499984740745262"/>
  </sheetPr>
  <dimension ref="A1:L27"/>
  <sheetViews>
    <sheetView zoomScale="85" zoomScaleNormal="85" workbookViewId="0">
      <selection activeCell="H24" sqref="H24"/>
    </sheetView>
  </sheetViews>
  <sheetFormatPr baseColWidth="10" defaultColWidth="8.83203125" defaultRowHeight="14"/>
  <cols>
    <col min="1" max="1" width="4.5" style="36" customWidth="1"/>
    <col min="2" max="2" width="14.33203125" style="12" customWidth="1"/>
    <col min="3" max="3" width="12.5" style="12" bestFit="1" customWidth="1"/>
    <col min="4" max="4" width="17.33203125" style="12" customWidth="1"/>
    <col min="5" max="5" width="22.6640625" style="12" bestFit="1" customWidth="1"/>
    <col min="6" max="6" width="20.5" style="12" bestFit="1" customWidth="1"/>
    <col min="7" max="7" width="10.6640625" style="12" bestFit="1" customWidth="1"/>
    <col min="8" max="8" width="10.5" style="12" customWidth="1"/>
    <col min="9" max="9" width="15" style="12" bestFit="1" customWidth="1"/>
    <col min="10" max="10" width="13.5" style="12" bestFit="1" customWidth="1"/>
    <col min="11" max="11" width="7.33203125" style="12" customWidth="1"/>
    <col min="12" max="12" width="16.6640625" style="12" bestFit="1" customWidth="1"/>
    <col min="13" max="13" width="7.6640625" style="12" customWidth="1"/>
    <col min="14" max="16384" width="8.83203125" style="12"/>
  </cols>
  <sheetData>
    <row r="1" spans="1:12" ht="19.25" customHeight="1">
      <c r="B1" s="35"/>
      <c r="C1" s="202" t="s">
        <v>423</v>
      </c>
      <c r="D1" s="202"/>
      <c r="E1" s="202"/>
      <c r="F1" s="202"/>
      <c r="G1" s="202" t="s">
        <v>424</v>
      </c>
      <c r="H1" s="202"/>
      <c r="I1" s="202"/>
      <c r="J1" s="202"/>
      <c r="K1" s="34"/>
      <c r="L1" s="31"/>
    </row>
    <row r="2" spans="1:12" ht="15">
      <c r="B2" s="33" t="s">
        <v>425</v>
      </c>
      <c r="C2" s="32" t="s">
        <v>383</v>
      </c>
      <c r="D2" s="32" t="s">
        <v>384</v>
      </c>
      <c r="E2" s="32" t="s">
        <v>385</v>
      </c>
      <c r="F2" s="32" t="s">
        <v>386</v>
      </c>
      <c r="G2" s="32" t="s">
        <v>284</v>
      </c>
      <c r="H2" s="32" t="s">
        <v>286</v>
      </c>
      <c r="I2" s="32" t="s">
        <v>426</v>
      </c>
      <c r="J2" s="32" t="s">
        <v>288</v>
      </c>
      <c r="K2" s="32" t="s">
        <v>427</v>
      </c>
      <c r="L2" s="32" t="s">
        <v>428</v>
      </c>
    </row>
    <row r="3" spans="1:12">
      <c r="B3" s="14" t="s">
        <v>227</v>
      </c>
      <c r="C3" s="16">
        <v>1.6597510373443986E-4</v>
      </c>
      <c r="D3" s="16">
        <v>4.2876901798063625E-4</v>
      </c>
      <c r="E3" s="16">
        <v>4.7026279391424624E-4</v>
      </c>
      <c r="F3" s="16">
        <v>2.6279391424619642E-4</v>
      </c>
      <c r="G3" s="14">
        <v>28</v>
      </c>
      <c r="H3" s="14">
        <v>145</v>
      </c>
      <c r="I3" s="14">
        <v>10</v>
      </c>
      <c r="J3" s="14">
        <v>7</v>
      </c>
      <c r="K3" s="14">
        <v>8760</v>
      </c>
      <c r="L3" s="42">
        <f>((C3*G3)+(D3*H3)+(E3*I3)+(F3*J3))*K3</f>
        <v>642.64232365145222</v>
      </c>
    </row>
    <row r="4" spans="1:12">
      <c r="B4" s="14" t="s">
        <v>455</v>
      </c>
      <c r="C4" s="16">
        <v>1.1313969571230982E-3</v>
      </c>
      <c r="D4" s="16">
        <v>3.8865836791147994E-3</v>
      </c>
      <c r="E4" s="16">
        <v>2.3513139695712313E-2</v>
      </c>
      <c r="F4" s="16">
        <v>0.64591977869986172</v>
      </c>
      <c r="G4" s="14">
        <v>95</v>
      </c>
      <c r="H4" s="14">
        <v>675</v>
      </c>
      <c r="I4" s="14">
        <v>4</v>
      </c>
      <c r="J4" s="14">
        <v>3</v>
      </c>
      <c r="K4" s="14">
        <v>8760</v>
      </c>
      <c r="L4" s="42">
        <f>((C4*G4)+(D4*H4)+(E4*I4)+(F4*J4))*K4</f>
        <v>41721.590041493779</v>
      </c>
    </row>
    <row r="5" spans="1:12">
      <c r="A5" s="36" t="s">
        <v>430</v>
      </c>
      <c r="B5" s="14" t="s">
        <v>454</v>
      </c>
      <c r="C5" s="16">
        <v>9.9108027750247782E-2</v>
      </c>
      <c r="D5" s="16">
        <v>2.265326348577092E-2</v>
      </c>
      <c r="E5" s="16">
        <v>5.3801500778705935E-2</v>
      </c>
      <c r="F5" s="16">
        <v>7.9286422200198214E-2</v>
      </c>
      <c r="G5" s="14">
        <v>71</v>
      </c>
      <c r="H5" s="14">
        <v>301</v>
      </c>
      <c r="I5" s="14">
        <v>4.5</v>
      </c>
      <c r="J5" s="14">
        <v>3</v>
      </c>
      <c r="K5" s="14">
        <v>8760</v>
      </c>
      <c r="L5" s="42">
        <f>((C5*G5)+(D5*H5)+(E5*I5)+(F5*J5))*K5</f>
        <v>125576.95030440323</v>
      </c>
    </row>
    <row r="6" spans="1:12">
      <c r="A6" s="36" t="s">
        <v>431</v>
      </c>
      <c r="B6" s="14" t="s">
        <v>454</v>
      </c>
      <c r="C6" s="16">
        <v>0.1387512388503469</v>
      </c>
      <c r="D6" s="16">
        <v>3.6811553164377744E-2</v>
      </c>
      <c r="E6" s="16">
        <v>7.9286422200198214E-2</v>
      </c>
      <c r="F6" s="16">
        <v>0.12742460710746142</v>
      </c>
      <c r="G6" s="14">
        <v>71</v>
      </c>
      <c r="H6" s="14">
        <v>301</v>
      </c>
      <c r="I6" s="14">
        <v>4.5</v>
      </c>
      <c r="J6" s="14">
        <v>3</v>
      </c>
      <c r="K6" s="14">
        <v>8760</v>
      </c>
      <c r="L6" s="42">
        <f>((C6*G6)+(D6*H6)+(E6*I6)+(F6*J6))*K6</f>
        <v>189835.14087498232</v>
      </c>
    </row>
    <row r="7" spans="1:12">
      <c r="B7" s="21"/>
      <c r="C7" s="21"/>
      <c r="D7" s="21"/>
      <c r="E7" s="21"/>
      <c r="F7" s="21"/>
      <c r="G7" s="21"/>
      <c r="H7" s="21"/>
      <c r="I7" s="21"/>
      <c r="J7" s="21"/>
      <c r="K7" s="21"/>
      <c r="L7" s="21"/>
    </row>
    <row r="8" spans="1:12" ht="15">
      <c r="B8" s="33" t="s">
        <v>432</v>
      </c>
      <c r="C8" s="32" t="s">
        <v>383</v>
      </c>
      <c r="D8" s="32" t="s">
        <v>384</v>
      </c>
      <c r="E8" s="32" t="s">
        <v>385</v>
      </c>
      <c r="F8" s="32" t="s">
        <v>386</v>
      </c>
      <c r="G8" s="32" t="s">
        <v>284</v>
      </c>
      <c r="H8" s="32" t="s">
        <v>286</v>
      </c>
      <c r="I8" s="32" t="s">
        <v>426</v>
      </c>
      <c r="J8" s="32" t="s">
        <v>288</v>
      </c>
      <c r="K8" s="32" t="s">
        <v>427</v>
      </c>
      <c r="L8" s="32" t="s">
        <v>428</v>
      </c>
    </row>
    <row r="9" spans="1:12">
      <c r="B9" s="14" t="s">
        <v>227</v>
      </c>
      <c r="C9" s="16">
        <v>1.6597510373443986E-4</v>
      </c>
      <c r="D9" s="16">
        <v>4.2876901798063625E-4</v>
      </c>
      <c r="E9" s="16">
        <v>4.7026279391424624E-4</v>
      </c>
      <c r="F9" s="16">
        <v>2.6279391424619642E-4</v>
      </c>
      <c r="G9" s="14">
        <v>28</v>
      </c>
      <c r="H9" s="14">
        <v>145</v>
      </c>
      <c r="I9" s="14">
        <v>10</v>
      </c>
      <c r="J9" s="14">
        <v>7</v>
      </c>
      <c r="K9" s="14">
        <v>4380</v>
      </c>
      <c r="L9" s="42">
        <f>(((C9*G9)+(D9*H9)+(E9*I9)+(F9*J9))*K9)*(1-0.1)</f>
        <v>289.18904564315352</v>
      </c>
    </row>
    <row r="10" spans="1:12">
      <c r="B10" s="14" t="s">
        <v>455</v>
      </c>
      <c r="C10" s="16">
        <v>1.1313969571230982E-3</v>
      </c>
      <c r="D10" s="16">
        <v>3.8865836791147994E-3</v>
      </c>
      <c r="E10" s="16">
        <v>2.3513139695712313E-2</v>
      </c>
      <c r="F10" s="16">
        <v>0.64591977869986172</v>
      </c>
      <c r="G10" s="14">
        <v>95</v>
      </c>
      <c r="H10" s="14">
        <v>675</v>
      </c>
      <c r="I10" s="14">
        <v>4</v>
      </c>
      <c r="J10" s="14">
        <v>3</v>
      </c>
      <c r="K10" s="14">
        <v>4380</v>
      </c>
      <c r="L10" s="42">
        <f t="shared" ref="L10:L11" si="0">(((C10*G10)+(D10*H10)+(E10*I10)+(F10*J10))*K10)*(1-0.1)</f>
        <v>18774.715518672201</v>
      </c>
    </row>
    <row r="11" spans="1:12">
      <c r="A11" s="36" t="s">
        <v>431</v>
      </c>
      <c r="B11" s="14" t="s">
        <v>454</v>
      </c>
      <c r="C11" s="16">
        <v>0.1387512388503469</v>
      </c>
      <c r="D11" s="16">
        <v>3.6811553164377744E-2</v>
      </c>
      <c r="E11" s="16">
        <v>7.9286422200198214E-2</v>
      </c>
      <c r="F11" s="16">
        <v>0.12742460710746142</v>
      </c>
      <c r="G11" s="14">
        <v>71</v>
      </c>
      <c r="H11" s="14">
        <v>301</v>
      </c>
      <c r="I11" s="14">
        <v>4.5</v>
      </c>
      <c r="J11" s="14">
        <v>3</v>
      </c>
      <c r="K11" s="14">
        <v>8760</v>
      </c>
      <c r="L11" s="42">
        <f t="shared" si="0"/>
        <v>170851.6267874841</v>
      </c>
    </row>
    <row r="12" spans="1:12">
      <c r="B12" s="21"/>
      <c r="C12" s="21"/>
      <c r="D12" s="21"/>
      <c r="E12" s="21"/>
      <c r="F12" s="21"/>
      <c r="G12" s="21"/>
      <c r="H12" s="21"/>
      <c r="I12" s="21"/>
      <c r="J12" s="21"/>
      <c r="K12" s="21"/>
      <c r="L12" s="21"/>
    </row>
    <row r="13" spans="1:12" ht="15">
      <c r="B13" s="33" t="s">
        <v>433</v>
      </c>
      <c r="C13" s="32" t="s">
        <v>383</v>
      </c>
      <c r="D13" s="32" t="s">
        <v>384</v>
      </c>
      <c r="E13" s="32" t="s">
        <v>385</v>
      </c>
      <c r="F13" s="32" t="s">
        <v>386</v>
      </c>
      <c r="G13" s="32" t="s">
        <v>284</v>
      </c>
      <c r="H13" s="32" t="s">
        <v>286</v>
      </c>
      <c r="I13" s="32" t="s">
        <v>426</v>
      </c>
      <c r="J13" s="32" t="s">
        <v>288</v>
      </c>
      <c r="K13" s="32" t="s">
        <v>427</v>
      </c>
      <c r="L13" s="32" t="s">
        <v>428</v>
      </c>
    </row>
    <row r="14" spans="1:12">
      <c r="B14" s="14" t="s">
        <v>227</v>
      </c>
      <c r="C14" s="16">
        <v>1.6597510373443986E-4</v>
      </c>
      <c r="D14" s="16">
        <v>4.2876901798063625E-4</v>
      </c>
      <c r="E14" s="16">
        <v>4.7026279391424624E-4</v>
      </c>
      <c r="F14" s="16">
        <v>2.6279391424619642E-4</v>
      </c>
      <c r="G14" s="14">
        <v>28</v>
      </c>
      <c r="H14" s="14">
        <v>145</v>
      </c>
      <c r="I14" s="14">
        <v>10</v>
      </c>
      <c r="J14" s="14">
        <v>7</v>
      </c>
      <c r="K14" s="14">
        <v>1460</v>
      </c>
      <c r="L14" s="42">
        <f>(((C14*G14)+(D14*H14)+(E14*I14)+(F14*J14))*K14)*(1-0.3)</f>
        <v>74.9749377593361</v>
      </c>
    </row>
    <row r="15" spans="1:12">
      <c r="B15" s="14" t="s">
        <v>455</v>
      </c>
      <c r="C15" s="16">
        <v>1.1313969571230982E-3</v>
      </c>
      <c r="D15" s="16">
        <v>3.8865836791147994E-3</v>
      </c>
      <c r="E15" s="16">
        <v>2.3513139695712313E-2</v>
      </c>
      <c r="F15" s="16">
        <v>0.64591977869986172</v>
      </c>
      <c r="G15" s="14">
        <v>95</v>
      </c>
      <c r="H15" s="14">
        <v>675</v>
      </c>
      <c r="I15" s="14">
        <v>4</v>
      </c>
      <c r="J15" s="14">
        <v>3</v>
      </c>
      <c r="K15" s="14">
        <v>1460</v>
      </c>
      <c r="L15" s="42">
        <f t="shared" ref="L15:L16" si="1">(((C15*G15)+(D15*H15)+(E15*I15)+(F15*J15))*K15)*(1-0.3)</f>
        <v>4867.5188381742746</v>
      </c>
    </row>
    <row r="16" spans="1:12">
      <c r="A16" s="36" t="s">
        <v>431</v>
      </c>
      <c r="B16" s="14" t="s">
        <v>454</v>
      </c>
      <c r="C16" s="16">
        <v>0.1387512388503469</v>
      </c>
      <c r="D16" s="16">
        <v>3.6811553164377744E-2</v>
      </c>
      <c r="E16" s="16">
        <v>7.9286422200198214E-2</v>
      </c>
      <c r="F16" s="16">
        <v>0.12742460710746142</v>
      </c>
      <c r="G16" s="14">
        <v>71</v>
      </c>
      <c r="H16" s="14">
        <v>301</v>
      </c>
      <c r="I16" s="14">
        <v>4.5</v>
      </c>
      <c r="J16" s="14">
        <v>3</v>
      </c>
      <c r="K16" s="14">
        <v>8760</v>
      </c>
      <c r="L16" s="42">
        <f t="shared" si="1"/>
        <v>132884.59861248761</v>
      </c>
    </row>
    <row r="17" spans="1:12">
      <c r="B17" s="21"/>
      <c r="C17" s="21"/>
      <c r="D17" s="21"/>
      <c r="E17" s="21"/>
      <c r="F17" s="21"/>
      <c r="G17" s="21"/>
      <c r="H17" s="21"/>
      <c r="I17" s="21"/>
      <c r="J17" s="21"/>
      <c r="K17" s="21"/>
      <c r="L17" s="21"/>
    </row>
    <row r="18" spans="1:12" ht="15">
      <c r="B18" s="33" t="s">
        <v>434</v>
      </c>
      <c r="C18" s="32" t="s">
        <v>383</v>
      </c>
      <c r="D18" s="32" t="s">
        <v>384</v>
      </c>
      <c r="E18" s="32" t="s">
        <v>385</v>
      </c>
      <c r="F18" s="32" t="s">
        <v>386</v>
      </c>
      <c r="G18" s="32" t="s">
        <v>284</v>
      </c>
      <c r="H18" s="32" t="s">
        <v>286</v>
      </c>
      <c r="I18" s="32" t="s">
        <v>426</v>
      </c>
      <c r="J18" s="32" t="s">
        <v>288</v>
      </c>
      <c r="K18" s="32" t="s">
        <v>427</v>
      </c>
      <c r="L18" s="32" t="s">
        <v>428</v>
      </c>
    </row>
    <row r="19" spans="1:12">
      <c r="B19" s="14" t="s">
        <v>227</v>
      </c>
      <c r="C19" s="16">
        <v>1.6597510373443986E-4</v>
      </c>
      <c r="D19" s="16">
        <v>4.2876901798063625E-4</v>
      </c>
      <c r="E19" s="16">
        <v>4.7026279391424624E-4</v>
      </c>
      <c r="F19" s="16">
        <v>2.6279391424619642E-4</v>
      </c>
      <c r="G19" s="14">
        <v>28</v>
      </c>
      <c r="H19" s="14">
        <v>145</v>
      </c>
      <c r="I19" s="14">
        <v>10</v>
      </c>
      <c r="J19" s="14">
        <v>7</v>
      </c>
      <c r="K19" s="14">
        <v>1095</v>
      </c>
      <c r="L19" s="42">
        <f>(((C19*G19)+(D19*H19)+(E19*I19)+(F19*J19))*K19)*(1-0.4)</f>
        <v>48.198174273858918</v>
      </c>
    </row>
    <row r="20" spans="1:12">
      <c r="B20" s="14" t="s">
        <v>455</v>
      </c>
      <c r="C20" s="16">
        <v>1.1313969571230982E-3</v>
      </c>
      <c r="D20" s="16">
        <v>3.8865836791147994E-3</v>
      </c>
      <c r="E20" s="16">
        <v>2.3513139695712313E-2</v>
      </c>
      <c r="F20" s="16">
        <v>0.64591977869986172</v>
      </c>
      <c r="G20" s="14">
        <v>95</v>
      </c>
      <c r="H20" s="14">
        <v>675</v>
      </c>
      <c r="I20" s="14">
        <v>4</v>
      </c>
      <c r="J20" s="14">
        <v>3</v>
      </c>
      <c r="K20" s="14">
        <v>1095</v>
      </c>
      <c r="L20" s="42">
        <f t="shared" ref="L20:L21" si="2">(((C20*G20)+(D20*H20)+(E20*I20)+(F20*J20))*K20)*(1-0.4)</f>
        <v>3129.1192531120332</v>
      </c>
    </row>
    <row r="21" spans="1:12">
      <c r="A21" s="36" t="s">
        <v>431</v>
      </c>
      <c r="B21" s="14" t="s">
        <v>454</v>
      </c>
      <c r="C21" s="16">
        <v>0.1387512388503469</v>
      </c>
      <c r="D21" s="16">
        <v>3.6811553164377744E-2</v>
      </c>
      <c r="E21" s="16">
        <v>7.9286422200198214E-2</v>
      </c>
      <c r="F21" s="16">
        <v>0.12742460710746142</v>
      </c>
      <c r="G21" s="14">
        <v>71</v>
      </c>
      <c r="H21" s="14">
        <v>301</v>
      </c>
      <c r="I21" s="14">
        <v>4.5</v>
      </c>
      <c r="J21" s="14">
        <v>3</v>
      </c>
      <c r="K21" s="14">
        <v>8760</v>
      </c>
      <c r="L21" s="42">
        <f t="shared" si="2"/>
        <v>113901.08452498939</v>
      </c>
    </row>
    <row r="23" spans="1:12">
      <c r="A23" s="36" t="s">
        <v>430</v>
      </c>
      <c r="B23" s="20" t="s">
        <v>435</v>
      </c>
    </row>
    <row r="24" spans="1:12">
      <c r="A24" s="36" t="s">
        <v>431</v>
      </c>
      <c r="B24" s="20" t="s">
        <v>436</v>
      </c>
      <c r="F24" s="29"/>
      <c r="G24" s="30"/>
    </row>
    <row r="25" spans="1:12">
      <c r="F25" s="29"/>
      <c r="G25" s="30"/>
    </row>
    <row r="26" spans="1:12">
      <c r="F26" s="29"/>
      <c r="G26" s="30"/>
    </row>
    <row r="27" spans="1:12">
      <c r="F27" s="29"/>
      <c r="G27" s="30"/>
    </row>
  </sheetData>
  <mergeCells count="2">
    <mergeCell ref="C1:F1"/>
    <mergeCell ref="G1:J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20D13-4803-4DF5-BCC2-91E3529B5AC7}">
  <sheetPr>
    <tabColor theme="2" tint="-0.499984740745262"/>
  </sheetPr>
  <dimension ref="A1:Z1"/>
  <sheetViews>
    <sheetView workbookViewId="0">
      <selection activeCell="AA24" sqref="AA24"/>
    </sheetView>
  </sheetViews>
  <sheetFormatPr baseColWidth="10" defaultColWidth="8.83203125" defaultRowHeight="15"/>
  <cols>
    <col min="1" max="1" width="20.33203125" style="1" customWidth="1"/>
    <col min="2" max="5" width="8.83203125" style="1"/>
    <col min="6" max="6" width="12.6640625" style="1" customWidth="1"/>
    <col min="7" max="13" width="8.83203125" style="1"/>
    <col min="14" max="14" width="8.6640625" style="1" customWidth="1"/>
    <col min="15" max="15" width="5.33203125" style="1" customWidth="1"/>
    <col min="16" max="16384" width="8.83203125" style="1"/>
  </cols>
  <sheetData>
    <row r="1" spans="1:26" s="71" customFormat="1">
      <c r="A1" s="70" t="s">
        <v>437</v>
      </c>
      <c r="G1" s="70" t="s">
        <v>438</v>
      </c>
      <c r="P1" s="70" t="s">
        <v>429</v>
      </c>
      <c r="Z1" s="70" t="s">
        <v>453</v>
      </c>
    </row>
  </sheetData>
  <hyperlinks>
    <hyperlink ref="A1" r:id="rId1" xr:uid="{055501D8-2DE7-4A06-8312-0B51C67BD193}"/>
    <hyperlink ref="G1" r:id="rId2" xr:uid="{C90B7115-8DAD-416F-A16B-8D7F2DA8E4EA}"/>
    <hyperlink ref="P1" r:id="rId3" xr:uid="{84ADF85F-0F02-4375-896E-285D52D92AAB}"/>
    <hyperlink ref="Z1" r:id="rId4" xr:uid="{340B802A-3925-43C3-96FC-066714FACFB5}"/>
  </hyperlinks>
  <pageMargins left="0.7" right="0.7" top="0.75" bottom="0.75" header="0.3" footer="0.3"/>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be36521-1157-440e-98dd-e4c2424eb4f9" xsi:nil="true"/>
    <lcf76f155ced4ddcb4097134ff3c332f xmlns="b64802a6-ac8e-4e76-b065-1fbe4dcefac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C9E9E4B4008284F80F094FA1A21F762" ma:contentTypeVersion="16" ma:contentTypeDescription="Create a new document." ma:contentTypeScope="" ma:versionID="96a84473ebdc64fc7759ec9ad63d8b69">
  <xsd:schema xmlns:xsd="http://www.w3.org/2001/XMLSchema" xmlns:xs="http://www.w3.org/2001/XMLSchema" xmlns:p="http://schemas.microsoft.com/office/2006/metadata/properties" xmlns:ns2="b64802a6-ac8e-4e76-b065-1fbe4dcefacc" xmlns:ns3="9be36521-1157-440e-98dd-e4c2424eb4f9" targetNamespace="http://schemas.microsoft.com/office/2006/metadata/properties" ma:root="true" ma:fieldsID="485a9a2ce4c66085b1a1179d8cfb8dd3" ns2:_="" ns3:_="">
    <xsd:import namespace="b64802a6-ac8e-4e76-b065-1fbe4dcefacc"/>
    <xsd:import namespace="9be36521-1157-440e-98dd-e4c2424eb4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4802a6-ac8e-4e76-b065-1fbe4dcefa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f8dfd4e-2207-4351-95ff-d80216770c1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be36521-1157-440e-98dd-e4c2424eb4f9"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28d3502-a3f9-4a11-989c-e3020db25f27}" ma:internalName="TaxCatchAll" ma:showField="CatchAllData" ma:web="9be36521-1157-440e-98dd-e4c2424eb4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B3D323-AF7D-4DEF-BCED-987123E66FA3}">
  <ds:schemaRefs>
    <ds:schemaRef ds:uri="http://schemas.microsoft.com/sharepoint/v3/contenttype/forms"/>
  </ds:schemaRefs>
</ds:datastoreItem>
</file>

<file path=customXml/itemProps2.xml><?xml version="1.0" encoding="utf-8"?>
<ds:datastoreItem xmlns:ds="http://schemas.openxmlformats.org/officeDocument/2006/customXml" ds:itemID="{6C0B2E30-F88D-4D11-AF44-E65DE6F52B59}">
  <ds:schemaRefs>
    <ds:schemaRef ds:uri="http://purl.org/dc/terms/"/>
    <ds:schemaRef ds:uri="http://www.w3.org/XML/1998/namespace"/>
    <ds:schemaRef ds:uri="http://schemas.microsoft.com/office/2006/documentManagement/types"/>
    <ds:schemaRef ds:uri="b64802a6-ac8e-4e76-b065-1fbe4dcefacc"/>
    <ds:schemaRef ds:uri="http://schemas.microsoft.com/office/2006/metadata/properties"/>
    <ds:schemaRef ds:uri="9be36521-1157-440e-98dd-e4c2424eb4f9"/>
    <ds:schemaRef ds:uri="http://schemas.openxmlformats.org/package/2006/metadata/core-properties"/>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6638F526-906B-45CA-8C24-9E899DEE9A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4802a6-ac8e-4e76-b065-1fbe4dcefacc"/>
    <ds:schemaRef ds:uri="9be36521-1157-440e-98dd-e4c2424eb4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Inputs and Outputs</vt:lpstr>
      <vt:lpstr>Methane Emissions Calculations</vt:lpstr>
      <vt:lpstr>Emission Factors and Defaults</vt:lpstr>
      <vt:lpstr>Default Equipment Counts</vt:lpstr>
      <vt:lpstr>Fugitives Profiles</vt:lpstr>
      <vt:lpstr>References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Chelsea Goral</dc:creator>
  <cp:keywords/>
  <dc:description/>
  <cp:lastModifiedBy>Information Information</cp:lastModifiedBy>
  <cp:revision/>
  <dcterms:created xsi:type="dcterms:W3CDTF">2022-08-23T01:35:22Z</dcterms:created>
  <dcterms:modified xsi:type="dcterms:W3CDTF">2022-12-08T16:17:56Z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0x010100BC9E9E4B4008284F80F094FA1A21F762</vt:lpwstr>
  </property>
  <property fmtid="{D5CDD505-2E9C-101B-9397-08002B2CF9AE}" pid="3" name="MediaServiceImageTags">
    <vt:lpwstr/>
  </property>
</Properties>
</file>